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1472" activeTab="3"/>
  </bookViews>
  <sheets>
    <sheet name="Fiche de renseignements compéti" sheetId="1" r:id="rId1"/>
    <sheet name="grille" sheetId="2" r:id="rId2"/>
    <sheet name="Poules" sheetId="3" r:id="rId3"/>
    <sheet name="Classement" sheetId="4" r:id="rId4"/>
  </sheets>
  <definedNames>
    <definedName name="_xlfn.IFERROR" hidden="1">#NAME?</definedName>
    <definedName name="_xlfn.SINGLE" hidden="1">#NAME?</definedName>
    <definedName name="Aquatique">'grille'!$N$9:$O$45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'grille'!$A$1:$R$47</definedName>
  </definedNames>
  <calcPr fullCalcOnLoad="1"/>
</workbook>
</file>

<file path=xl/sharedStrings.xml><?xml version="1.0" encoding="utf-8"?>
<sst xmlns="http://schemas.openxmlformats.org/spreadsheetml/2006/main" count="222" uniqueCount="132">
  <si>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</si>
  <si>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</si>
  <si>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</si>
  <si>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</si>
  <si>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</si>
  <si>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</si>
  <si>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</si>
  <si>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</si>
  <si>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</si>
  <si>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</si>
  <si>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</si>
  <si>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</si>
  <si>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</si>
  <si>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</si>
  <si>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</si>
  <si>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</si>
  <si>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</si>
  <si>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</si>
  <si>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</si>
  <si>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</si>
  <si>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</si>
  <si>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</si>
  <si>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</si>
  <si>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</si>
  <si>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</si>
  <si>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</si>
  <si>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</si>
  <si>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</si>
  <si>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</si>
  <si>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</si>
  <si>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</si>
  <si>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</si>
  <si>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</si>
  <si>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</si>
  <si>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</si>
  <si>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</si>
  <si>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</si>
  <si>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</si>
  <si>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</si>
  <si>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</si>
  <si>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</si>
  <si>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</si>
  <si>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</si>
  <si>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</si>
  <si>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</si>
  <si>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</si>
  <si>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</si>
  <si>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</si>
  <si>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</si>
  <si>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</si>
  <si>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</si>
  <si>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</si>
  <si>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</si>
  <si>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</si>
  <si>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</si>
  <si>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</si>
  <si>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</si>
  <si>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</si>
  <si>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Surveillant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</si>
  <si>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</si>
  <si>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</si>
  <si>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</si>
  <si>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</si>
  <si>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</si>
  <si>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</si>
  <si>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</si>
  <si>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</si>
  <si>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</si>
  <si>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</si>
  <si>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</si>
  <si>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</si>
  <si>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</si>
  <si>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</si>
  <si>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</si>
  <si>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</si>
  <si>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</si>
  <si>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</si>
  <si>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</si>
  <si>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</si>
  <si>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</si>
  <si>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</si>
  <si>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</si>
  <si>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</si>
  <si>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</si>
  <si>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</si>
  <si>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</si>
  <si>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</si>
  <si>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</si>
  <si>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</si>
  <si>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</si>
  <si>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</si>
  <si>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</si>
  <si>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</si>
  <si>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</si>
  <si>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</si>
  <si>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</si>
  <si>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</si>
  <si>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</si>
  <si>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</si>
  <si>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</si>
  <si>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</si>
  <si>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</si>
  <si>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</si>
  <si>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</si>
  <si>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</si>
  <si>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</si>
  <si>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</si>
  <si>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</si>
  <si>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</si>
  <si>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</si>
  <si>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</si>
  <si>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</si>
  <si>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Non</t>
  </si>
  <si>
    <t>horaire 1er match dimanche</t>
  </si>
  <si>
    <t>2021 / 2022</t>
  </si>
  <si>
    <t>Division 2 Féminine</t>
  </si>
  <si>
    <t>12 et 13 mars 2022</t>
  </si>
  <si>
    <t>Le Puy en Velay</t>
  </si>
  <si>
    <t>F</t>
  </si>
  <si>
    <t>LAGNY</t>
  </si>
  <si>
    <t>DIDEROT XII</t>
  </si>
  <si>
    <t>LA ROCHELLE</t>
  </si>
  <si>
    <t>PESSAC</t>
  </si>
  <si>
    <t>LILLE</t>
  </si>
  <si>
    <t>MARSEILLE</t>
  </si>
  <si>
    <t>FONTENAY</t>
  </si>
  <si>
    <t>PONTIVY QUIMPER</t>
  </si>
  <si>
    <t>DINAN</t>
  </si>
  <si>
    <t>CLERMONT ANNEMASSE</t>
  </si>
  <si>
    <t>Sélectionnées en manche 2</t>
  </si>
  <si>
    <t>Quotas D3F saison suivante</t>
  </si>
  <si>
    <t>Quotas D2F saison suivante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</si>
</sst>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56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1" fillId="0" borderId="17" xfId="53" applyFont="1" applyBorder="1" applyAlignment="1">
      <alignment horizontal="left" wrapText="1"/>
      <protection/>
    </xf>
    <xf numFmtId="0" fontId="1" fillId="0" borderId="17" xfId="53" applyFont="1" applyBorder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0" fontId="1" fillId="0" borderId="17" xfId="54" applyFont="1" applyBorder="1" applyAlignment="1">
      <alignment wrapText="1"/>
      <protection/>
    </xf>
    <xf numFmtId="0" fontId="0" fillId="0" borderId="0" xfId="54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1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3" applyFont="1" applyBorder="1" applyAlignment="1" applyProtection="1">
      <alignment wrapText="1"/>
      <protection locked="0"/>
    </xf>
    <xf numFmtId="0" fontId="1" fillId="0" borderId="17" xfId="54" applyFont="1" applyBorder="1" applyAlignment="1" applyProtection="1">
      <alignment wrapText="1"/>
      <protection locked="0"/>
    </xf>
    <xf numFmtId="20" fontId="1" fillId="0" borderId="17" xfId="53" applyNumberFormat="1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7" xfId="54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6" borderId="24" xfId="0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 horizontal="center"/>
      <protection/>
    </xf>
    <xf numFmtId="0" fontId="1" fillId="36" borderId="17" xfId="0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1" fillId="36" borderId="34" xfId="0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9" fillId="0" borderId="38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5" fillId="38" borderId="39" xfId="0" applyFont="1" applyFill="1" applyBorder="1" applyAlignment="1">
      <alignment vertical="center"/>
    </xf>
    <xf numFmtId="0" fontId="1" fillId="38" borderId="28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vertical="center"/>
    </xf>
    <xf numFmtId="0" fontId="1" fillId="38" borderId="40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vertical="center"/>
    </xf>
    <xf numFmtId="0" fontId="1" fillId="38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3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39" borderId="23" xfId="53" applyFill="1" applyBorder="1">
      <alignment/>
      <protection/>
    </xf>
    <xf numFmtId="0" fontId="3" fillId="0" borderId="24" xfId="53" applyFont="1" applyBorder="1" applyAlignment="1">
      <alignment horizontal="left" wrapText="1"/>
      <protection/>
    </xf>
    <xf numFmtId="0" fontId="0" fillId="39" borderId="34" xfId="53" applyFill="1" applyBorder="1">
      <alignment/>
      <protection/>
    </xf>
    <xf numFmtId="0" fontId="3" fillId="0" borderId="24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39" borderId="21" xfId="53" applyFill="1" applyBorder="1">
      <alignment/>
      <protection/>
    </xf>
    <xf numFmtId="0" fontId="0" fillId="39" borderId="42" xfId="53" applyFill="1" applyBorder="1">
      <alignment/>
      <protection/>
    </xf>
    <xf numFmtId="20" fontId="1" fillId="0" borderId="17" xfId="54" applyNumberFormat="1" applyFont="1" applyBorder="1" applyAlignment="1">
      <alignment wrapText="1"/>
      <protection/>
    </xf>
    <xf numFmtId="0" fontId="8" fillId="0" borderId="17" xfId="54" applyFont="1" applyBorder="1" applyAlignment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5" fillId="0" borderId="17" xfId="54" applyFont="1" applyBorder="1">
      <alignment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0" borderId="0" xfId="0" applyFont="1" applyFill="1" applyBorder="1" applyAlignment="1">
      <alignment vertical="center"/>
    </xf>
    <xf numFmtId="0" fontId="3" fillId="40" borderId="11" xfId="0" applyFont="1" applyFill="1" applyBorder="1" applyAlignment="1">
      <alignment vertical="center"/>
    </xf>
    <xf numFmtId="0" fontId="19" fillId="41" borderId="1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41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9" fillId="42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42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38" borderId="17" xfId="0" applyFont="1" applyFill="1" applyBorder="1" applyAlignment="1">
      <alignment vertical="center"/>
    </xf>
    <xf numFmtId="0" fontId="0" fillId="0" borderId="28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/>
      <protection/>
    </xf>
    <xf numFmtId="0" fontId="1" fillId="0" borderId="0" xfId="53" applyFont="1" applyAlignment="1">
      <alignment horizontal="center" wrapText="1"/>
      <protection/>
    </xf>
    <xf numFmtId="0" fontId="1" fillId="0" borderId="28" xfId="54" applyFont="1" applyBorder="1" applyAlignment="1">
      <alignment horizontal="center"/>
      <protection/>
    </xf>
    <xf numFmtId="0" fontId="1" fillId="0" borderId="49" xfId="54" applyFont="1" applyBorder="1" applyAlignment="1">
      <alignment horizontal="center"/>
      <protection/>
    </xf>
    <xf numFmtId="0" fontId="1" fillId="0" borderId="29" xfId="54" applyFont="1" applyBorder="1" applyAlignment="1">
      <alignment horizontal="center"/>
      <protection/>
    </xf>
    <xf numFmtId="0" fontId="3" fillId="40" borderId="5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6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5" fillId="35" borderId="55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9" fillId="16" borderId="17" xfId="0" applyFont="1" applyFill="1" applyBorder="1" applyAlignment="1">
      <alignment horizontal="center" vertical="center" wrapText="1"/>
    </xf>
    <xf numFmtId="0" fontId="19" fillId="14" borderId="17" xfId="0" applyFont="1" applyFill="1" applyBorder="1" applyAlignment="1">
      <alignment horizontal="center" vertical="center" wrapText="1"/>
    </xf>
    <xf numFmtId="0" fontId="19" fillId="39" borderId="17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238125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180975</xdr:colOff>
      <xdr:row>2</xdr:row>
      <xdr:rowOff>238125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41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0</xdr:col>
      <xdr:colOff>1571625</xdr:colOff>
      <xdr:row>1</xdr:row>
      <xdr:rowOff>1047750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41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86" t="s">
        <v>114</v>
      </c>
    </row>
    <row r="5" spans="1:3" ht="15">
      <c r="A5" s="64">
        <v>2</v>
      </c>
      <c r="B5" s="65" t="s">
        <v>33</v>
      </c>
      <c r="C5" s="86" t="s">
        <v>115</v>
      </c>
    </row>
    <row r="6" spans="1:3" ht="15">
      <c r="A6" s="64">
        <v>3</v>
      </c>
      <c r="B6" s="65" t="s">
        <v>34</v>
      </c>
      <c r="C6" s="86" t="s">
        <v>116</v>
      </c>
    </row>
    <row r="7" spans="1:3" ht="15">
      <c r="A7" s="64">
        <v>4</v>
      </c>
      <c r="B7" s="65" t="s">
        <v>35</v>
      </c>
      <c r="C7" s="86" t="s">
        <v>117</v>
      </c>
    </row>
    <row r="8" spans="1:3" s="70" customFormat="1" ht="30.75">
      <c r="A8" s="64">
        <v>5</v>
      </c>
      <c r="B8" s="69" t="s">
        <v>52</v>
      </c>
      <c r="C8" s="87" t="s">
        <v>50</v>
      </c>
    </row>
    <row r="9" ht="15">
      <c r="C9" s="88">
        <v>0.020833333333333332</v>
      </c>
    </row>
    <row r="10" spans="1:3" ht="30.75">
      <c r="A10" s="64">
        <v>6</v>
      </c>
      <c r="B10" s="65" t="s">
        <v>68</v>
      </c>
      <c r="C10" s="87" t="s">
        <v>53</v>
      </c>
    </row>
    <row r="11" spans="1:3" ht="15">
      <c r="A11" s="64"/>
      <c r="B11" s="65"/>
      <c r="C11" s="88">
        <v>0.024305555555555556</v>
      </c>
    </row>
    <row r="12" spans="1:3" ht="15">
      <c r="A12" s="64">
        <v>7</v>
      </c>
      <c r="B12" s="69" t="s">
        <v>107</v>
      </c>
      <c r="C12" s="139">
        <v>0.3958333333333333</v>
      </c>
    </row>
    <row r="13" spans="1:3" ht="15">
      <c r="A13" s="64">
        <v>8</v>
      </c>
      <c r="B13" s="69" t="s">
        <v>113</v>
      </c>
      <c r="C13" s="139">
        <v>0.3333333333333333</v>
      </c>
    </row>
    <row r="14" spans="1:3" ht="21" customHeight="1">
      <c r="A14" s="175" t="s">
        <v>56</v>
      </c>
      <c r="B14" s="175"/>
      <c r="C14" s="175"/>
    </row>
    <row r="15" spans="1:3" ht="15.75" thickBot="1">
      <c r="A15" s="66" t="s">
        <v>51</v>
      </c>
      <c r="B15" s="67"/>
      <c r="C15" s="138" t="s">
        <v>69</v>
      </c>
    </row>
    <row r="16" spans="1:3" ht="15">
      <c r="A16" s="129" t="s">
        <v>97</v>
      </c>
      <c r="B16" s="130" t="s">
        <v>122</v>
      </c>
      <c r="C16" s="131" t="s">
        <v>40</v>
      </c>
    </row>
    <row r="17" spans="1:3" ht="15">
      <c r="A17" s="132" t="s">
        <v>98</v>
      </c>
      <c r="B17" s="128" t="s">
        <v>121</v>
      </c>
      <c r="C17" s="133" t="s">
        <v>42</v>
      </c>
    </row>
    <row r="18" spans="1:3" ht="15">
      <c r="A18" s="134" t="s">
        <v>99</v>
      </c>
      <c r="B18" s="128" t="s">
        <v>120</v>
      </c>
      <c r="C18" s="133" t="s">
        <v>44</v>
      </c>
    </row>
    <row r="19" spans="1:3" ht="15">
      <c r="A19" s="134" t="s">
        <v>100</v>
      </c>
      <c r="B19" s="128" t="s">
        <v>123</v>
      </c>
      <c r="C19" s="133" t="s">
        <v>46</v>
      </c>
    </row>
    <row r="20" spans="1:3" ht="15" thickBot="1">
      <c r="A20" s="135" t="s">
        <v>101</v>
      </c>
      <c r="B20" s="136" t="s">
        <v>124</v>
      </c>
      <c r="C20" s="137" t="s">
        <v>48</v>
      </c>
    </row>
    <row r="22" ht="15.75" thickBot="1">
      <c r="A22" s="66" t="s">
        <v>20</v>
      </c>
    </row>
    <row r="23" spans="1:3" ht="15">
      <c r="A23" s="129" t="s">
        <v>102</v>
      </c>
      <c r="B23" s="130" t="s">
        <v>125</v>
      </c>
      <c r="C23" s="131" t="s">
        <v>41</v>
      </c>
    </row>
    <row r="24" spans="1:3" ht="15">
      <c r="A24" s="132" t="s">
        <v>103</v>
      </c>
      <c r="B24" s="128" t="s">
        <v>119</v>
      </c>
      <c r="C24" s="133" t="s">
        <v>43</v>
      </c>
    </row>
    <row r="25" spans="1:3" ht="15">
      <c r="A25" s="134" t="s">
        <v>104</v>
      </c>
      <c r="B25" s="128" t="s">
        <v>126</v>
      </c>
      <c r="C25" s="133" t="s">
        <v>45</v>
      </c>
    </row>
    <row r="26" spans="1:3" ht="15">
      <c r="A26" s="134" t="s">
        <v>105</v>
      </c>
      <c r="B26" s="128" t="s">
        <v>127</v>
      </c>
      <c r="C26" s="133" t="s">
        <v>47</v>
      </c>
    </row>
    <row r="27" spans="1:3" ht="15" thickBot="1">
      <c r="A27" s="135" t="s">
        <v>106</v>
      </c>
      <c r="B27" s="136" t="s">
        <v>128</v>
      </c>
      <c r="C27" s="137" t="s">
        <v>49</v>
      </c>
    </row>
    <row r="30" spans="1:4" ht="17.25">
      <c r="A30" s="176" t="s">
        <v>108</v>
      </c>
      <c r="B30" s="177"/>
      <c r="C30" s="178"/>
      <c r="D30" s="140" t="s">
        <v>112</v>
      </c>
    </row>
    <row r="31" spans="1:4" ht="15">
      <c r="A31" s="176" t="s">
        <v>109</v>
      </c>
      <c r="B31" s="177"/>
      <c r="C31" s="178"/>
      <c r="D31" s="141">
        <v>3</v>
      </c>
    </row>
    <row r="32" spans="1:4" ht="15">
      <c r="A32" s="142"/>
      <c r="B32" s="142" t="s">
        <v>110</v>
      </c>
      <c r="C32" s="142" t="s">
        <v>111</v>
      </c>
      <c r="D32" s="142" t="s">
        <v>57</v>
      </c>
    </row>
    <row r="33" spans="1:4" ht="15">
      <c r="A33" s="96">
        <v>1</v>
      </c>
      <c r="B33" s="143"/>
      <c r="C33" s="143"/>
      <c r="D33" s="143"/>
    </row>
    <row r="34" spans="1:4" ht="15">
      <c r="A34" s="96">
        <v>2</v>
      </c>
      <c r="B34" s="143"/>
      <c r="C34" s="143"/>
      <c r="D34" s="143"/>
    </row>
    <row r="35" spans="1:4" ht="15">
      <c r="A35" s="96">
        <v>3</v>
      </c>
      <c r="B35" s="143"/>
      <c r="C35" s="143"/>
      <c r="D35" s="143"/>
    </row>
    <row r="36" spans="1:4" ht="15">
      <c r="A36" s="96">
        <v>4</v>
      </c>
      <c r="B36" s="143"/>
      <c r="C36" s="143"/>
      <c r="D36" s="143"/>
    </row>
    <row r="37" spans="1:4" ht="15">
      <c r="A37" s="96">
        <v>5</v>
      </c>
      <c r="B37" s="143"/>
      <c r="C37" s="143"/>
      <c r="D37" s="143"/>
    </row>
    <row r="38" spans="1:4" ht="15">
      <c r="A38" s="96">
        <v>6</v>
      </c>
      <c r="B38" s="143"/>
      <c r="C38" s="143"/>
      <c r="D38" s="143"/>
    </row>
    <row r="39" spans="1:4" ht="15">
      <c r="A39" s="96">
        <v>7</v>
      </c>
      <c r="B39" s="143"/>
      <c r="C39" s="143"/>
      <c r="D39" s="143"/>
    </row>
    <row r="40" spans="1:4" ht="15">
      <c r="A40" s="96">
        <v>8</v>
      </c>
      <c r="B40" s="143"/>
      <c r="C40" s="143"/>
      <c r="D40" s="143"/>
    </row>
    <row r="41" spans="1:4" ht="15">
      <c r="A41" s="96">
        <v>9</v>
      </c>
      <c r="B41" s="143"/>
      <c r="C41" s="143"/>
      <c r="D41" s="143"/>
    </row>
    <row r="42" spans="1:4" ht="15">
      <c r="A42" s="96">
        <v>10</v>
      </c>
      <c r="B42" s="143"/>
      <c r="C42" s="143"/>
      <c r="D42" s="143"/>
    </row>
    <row r="43" spans="1:4" ht="15">
      <c r="A43" s="96">
        <v>11</v>
      </c>
      <c r="B43" s="143"/>
      <c r="C43" s="143"/>
      <c r="D43" s="143"/>
    </row>
    <row r="44" spans="1:4" ht="15">
      <c r="A44" s="96">
        <v>12</v>
      </c>
      <c r="B44" s="143"/>
      <c r="C44" s="143"/>
      <c r="D44" s="143"/>
    </row>
    <row r="45" spans="1:4" ht="15">
      <c r="A45" s="96">
        <v>13</v>
      </c>
      <c r="B45" s="143"/>
      <c r="C45" s="143"/>
      <c r="D45" s="143"/>
    </row>
    <row r="46" spans="1:4" ht="15">
      <c r="A46" s="96">
        <v>14</v>
      </c>
      <c r="B46" s="143"/>
      <c r="C46" s="143"/>
      <c r="D46" s="143"/>
    </row>
    <row r="47" spans="1:4" ht="15">
      <c r="A47" s="96">
        <v>15</v>
      </c>
      <c r="B47" s="143"/>
      <c r="C47" s="143"/>
      <c r="D47" s="143"/>
    </row>
    <row r="48" spans="1:4" ht="15">
      <c r="A48" s="96">
        <v>16</v>
      </c>
      <c r="B48" s="143"/>
      <c r="C48" s="143"/>
      <c r="D48" s="143"/>
    </row>
  </sheetData>
  <sheetProtection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zoomScaleSheetLayoutView="100" zoomScalePageLayoutView="0" workbookViewId="0" topLeftCell="A1">
      <selection activeCell="H47" sqref="H47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</cols>
  <sheetData>
    <row r="1" spans="6:16" s="71" customFormat="1" ht="38.25" customHeight="1">
      <c r="F1" s="72"/>
      <c r="G1" s="189" t="s">
        <v>36</v>
      </c>
      <c r="H1" s="190"/>
      <c r="I1" s="182" t="str">
        <f>saison</f>
        <v>2021 / 2022</v>
      </c>
      <c r="J1" s="183"/>
      <c r="K1" s="183"/>
      <c r="L1" s="183"/>
      <c r="M1" s="183"/>
      <c r="N1" s="183"/>
      <c r="O1" s="184"/>
      <c r="P1" s="95"/>
    </row>
    <row r="2" spans="6:16" s="71" customFormat="1" ht="26.25" customHeight="1">
      <c r="F2" s="72"/>
      <c r="G2" s="189" t="s">
        <v>37</v>
      </c>
      <c r="H2" s="190"/>
      <c r="I2" s="182" t="str">
        <f>lieu</f>
        <v>Le Puy en Velay</v>
      </c>
      <c r="J2" s="183"/>
      <c r="K2" s="183"/>
      <c r="L2" s="183"/>
      <c r="M2" s="183"/>
      <c r="N2" s="183"/>
      <c r="O2" s="184"/>
      <c r="P2" s="95"/>
    </row>
    <row r="3" spans="10:15" s="73" customFormat="1" ht="21" customHeight="1">
      <c r="J3" s="185" t="s">
        <v>55</v>
      </c>
      <c r="K3" s="185"/>
      <c r="L3" s="185"/>
      <c r="M3" s="185"/>
      <c r="N3" s="185"/>
      <c r="O3" s="185"/>
    </row>
    <row r="4" spans="1:15" s="73" customFormat="1" ht="24.75" customHeight="1">
      <c r="A4" s="54" t="s">
        <v>38</v>
      </c>
      <c r="B4" s="182" t="str">
        <f>date</f>
        <v>12 et 13 mars 2022</v>
      </c>
      <c r="C4" s="183"/>
      <c r="D4" s="183"/>
      <c r="E4" s="183"/>
      <c r="F4" s="184"/>
      <c r="G4" s="79"/>
      <c r="H4" s="54" t="s">
        <v>39</v>
      </c>
      <c r="I4" s="94"/>
      <c r="K4" s="182" t="str">
        <f>catégorie</f>
        <v>Division 2 Féminine</v>
      </c>
      <c r="L4" s="183"/>
      <c r="M4" s="183"/>
      <c r="N4" s="183"/>
      <c r="O4" s="184"/>
    </row>
    <row r="5" spans="1:24" s="85" customFormat="1" ht="12.75" customHeight="1">
      <c r="A5" s="83"/>
      <c r="B5" s="181" t="s">
        <v>54</v>
      </c>
      <c r="C5" s="181"/>
      <c r="D5" s="181"/>
      <c r="E5" s="84" t="str">
        <f>edurée1</f>
        <v>2*11' + 2' mi-temps + 1 temps mort / équipe +4' inter match= 30'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  <c r="S5" s="83"/>
      <c r="T5" s="83"/>
      <c r="U5" s="83"/>
      <c r="V5" s="83"/>
      <c r="W5" s="83"/>
      <c r="X5" s="83"/>
    </row>
    <row r="6" spans="1:24" s="85" customFormat="1" ht="21" customHeight="1" thickBot="1">
      <c r="A6" s="83"/>
      <c r="B6" s="181" t="s">
        <v>96</v>
      </c>
      <c r="C6" s="181"/>
      <c r="D6" s="181"/>
      <c r="E6" s="84" t="str">
        <f>edurée2</f>
        <v>2*13' + 2' mi-temps + 1 temps mort / équipe +4' inter match= 34'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3"/>
      <c r="R6" s="83"/>
      <c r="S6" s="83"/>
      <c r="T6" s="83"/>
      <c r="U6" s="83"/>
      <c r="V6" s="83"/>
      <c r="W6" s="83"/>
      <c r="X6" s="8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191" t="s">
        <v>5</v>
      </c>
      <c r="N7" s="192"/>
      <c r="O7" s="193"/>
      <c r="P7" s="104"/>
      <c r="Q7" s="105"/>
      <c r="R7" s="104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06" t="s">
        <v>3</v>
      </c>
      <c r="N8" s="14" t="s">
        <v>4</v>
      </c>
      <c r="O8" s="15"/>
      <c r="P8" s="186" t="s">
        <v>58</v>
      </c>
      <c r="Q8" s="187"/>
      <c r="R8" s="188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71" t="str">
        <f>PA1</f>
        <v>PESSAC</v>
      </c>
      <c r="E9" s="82">
        <v>1</v>
      </c>
      <c r="F9" s="16"/>
      <c r="G9" s="29">
        <v>1</v>
      </c>
      <c r="H9" s="29">
        <v>6</v>
      </c>
      <c r="I9" s="16"/>
      <c r="J9" s="82">
        <v>3</v>
      </c>
      <c r="K9" s="171" t="str">
        <f>PA3</f>
        <v>LA ROCHELLE</v>
      </c>
      <c r="L9" s="16"/>
      <c r="M9" s="162"/>
      <c r="N9" s="163"/>
      <c r="O9" s="163"/>
      <c r="P9" s="107"/>
      <c r="Q9" s="108"/>
      <c r="R9" s="109"/>
    </row>
    <row r="10" spans="1:18" s="10" customFormat="1" ht="16.5" customHeight="1" thickBot="1" thickTop="1">
      <c r="A10" s="30" t="s">
        <v>28</v>
      </c>
      <c r="B10" s="52">
        <f aca="true" t="shared" si="0" ref="B10:B18">IF(G9="f",B9,IF(H9="f",B9,B9+durée1))</f>
        <v>0.41666666666666663</v>
      </c>
      <c r="C10" s="19">
        <v>2</v>
      </c>
      <c r="D10" s="171" t="str">
        <f>PB2</f>
        <v>FONTENAY</v>
      </c>
      <c r="E10" s="82">
        <v>2</v>
      </c>
      <c r="F10" s="16">
        <v>2</v>
      </c>
      <c r="G10" s="29">
        <v>11</v>
      </c>
      <c r="H10" s="29">
        <v>0</v>
      </c>
      <c r="I10" s="16"/>
      <c r="J10" s="82">
        <v>4</v>
      </c>
      <c r="K10" s="171" t="str">
        <f>PB4</f>
        <v>LAGNY</v>
      </c>
      <c r="L10" s="16"/>
      <c r="M10" s="162"/>
      <c r="N10" s="164"/>
      <c r="O10" s="164"/>
      <c r="P10" s="110"/>
      <c r="Q10" s="111"/>
      <c r="R10" s="112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71" t="str">
        <f>PA5</f>
        <v>DIDEROT XII</v>
      </c>
      <c r="E11" s="82">
        <v>5</v>
      </c>
      <c r="F11" s="16">
        <v>4</v>
      </c>
      <c r="G11" s="29">
        <v>6</v>
      </c>
      <c r="H11" s="29">
        <v>0</v>
      </c>
      <c r="I11" s="16"/>
      <c r="J11" s="82">
        <v>7</v>
      </c>
      <c r="K11" s="171" t="str">
        <f>PA7</f>
        <v>LILLE</v>
      </c>
      <c r="L11" s="16"/>
      <c r="M11" s="165"/>
      <c r="N11" s="164"/>
      <c r="O11" s="164"/>
      <c r="P11" s="110"/>
      <c r="Q11" s="111"/>
      <c r="R11" s="112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71" t="str">
        <f>PB6</f>
        <v>PONTIVY QUIMPER</v>
      </c>
      <c r="E12" s="82">
        <v>6</v>
      </c>
      <c r="F12" s="16"/>
      <c r="G12" s="29">
        <v>1</v>
      </c>
      <c r="H12" s="29">
        <v>8</v>
      </c>
      <c r="I12" s="16"/>
      <c r="J12" s="82">
        <v>8</v>
      </c>
      <c r="K12" s="171" t="str">
        <f>PB8</f>
        <v>DINAN</v>
      </c>
      <c r="L12" s="16"/>
      <c r="M12" s="165"/>
      <c r="N12" s="164"/>
      <c r="O12" s="163"/>
      <c r="P12" s="113"/>
      <c r="Q12" s="111"/>
      <c r="R12" s="112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71" t="str">
        <f>PA3</f>
        <v>LA ROCHELLE</v>
      </c>
      <c r="E13" s="82">
        <v>3</v>
      </c>
      <c r="F13" s="16"/>
      <c r="G13" s="29">
        <v>0</v>
      </c>
      <c r="H13" s="29" t="s">
        <v>118</v>
      </c>
      <c r="I13" s="16"/>
      <c r="J13" s="82">
        <v>9</v>
      </c>
      <c r="K13" s="171" t="str">
        <f>PA9</f>
        <v>MARSEILLE</v>
      </c>
      <c r="L13" s="16"/>
      <c r="M13" s="165"/>
      <c r="N13" s="164"/>
      <c r="O13" s="163"/>
      <c r="P13" s="110"/>
      <c r="Q13" s="111"/>
      <c r="R13" s="112"/>
    </row>
    <row r="14" spans="1:18" s="10" customFormat="1" ht="16.5" customHeight="1" thickBot="1" thickTop="1">
      <c r="A14" s="30" t="s">
        <v>28</v>
      </c>
      <c r="B14" s="52">
        <f t="shared" si="0"/>
        <v>0.4791666666666666</v>
      </c>
      <c r="C14" s="19">
        <v>6</v>
      </c>
      <c r="D14" s="171" t="str">
        <f>PB4</f>
        <v>LAGNY</v>
      </c>
      <c r="E14" s="82">
        <v>4</v>
      </c>
      <c r="F14" s="16"/>
      <c r="G14" s="29">
        <v>0</v>
      </c>
      <c r="H14" s="29">
        <v>10</v>
      </c>
      <c r="I14" s="16"/>
      <c r="J14" s="82">
        <v>10</v>
      </c>
      <c r="K14" s="171" t="str">
        <f>PB10</f>
        <v>CLERMONT ANNEMASSE</v>
      </c>
      <c r="L14" s="16"/>
      <c r="M14" s="165"/>
      <c r="N14" s="164"/>
      <c r="O14" s="163"/>
      <c r="P14" s="110"/>
      <c r="Q14" s="111"/>
      <c r="R14" s="112"/>
    </row>
    <row r="15" spans="1:18" s="10" customFormat="1" ht="16.5" customHeight="1" thickBot="1" thickTop="1">
      <c r="A15" s="30" t="s">
        <v>28</v>
      </c>
      <c r="B15" s="52">
        <f t="shared" si="0"/>
        <v>0.4999999999999999</v>
      </c>
      <c r="C15" s="19">
        <v>7</v>
      </c>
      <c r="D15" s="171" t="str">
        <f>PA1</f>
        <v>PESSAC</v>
      </c>
      <c r="E15" s="82">
        <v>1</v>
      </c>
      <c r="F15" s="16"/>
      <c r="G15" s="29">
        <v>0</v>
      </c>
      <c r="H15" s="29">
        <v>7</v>
      </c>
      <c r="I15" s="16"/>
      <c r="J15" s="82">
        <v>5</v>
      </c>
      <c r="K15" s="171" t="str">
        <f>PA5</f>
        <v>DIDEROT XII</v>
      </c>
      <c r="L15" s="16"/>
      <c r="M15" s="165"/>
      <c r="N15" s="164"/>
      <c r="O15" s="163"/>
      <c r="P15" s="110"/>
      <c r="Q15" s="111"/>
      <c r="R15" s="112"/>
    </row>
    <row r="16" spans="1:18" s="10" customFormat="1" ht="16.5" customHeight="1" thickBot="1" thickTop="1">
      <c r="A16" s="30" t="s">
        <v>28</v>
      </c>
      <c r="B16" s="52">
        <f t="shared" si="0"/>
        <v>0.5208333333333333</v>
      </c>
      <c r="C16" s="19">
        <v>8</v>
      </c>
      <c r="D16" s="171" t="str">
        <f>PB2</f>
        <v>FONTENAY</v>
      </c>
      <c r="E16" s="82">
        <v>2</v>
      </c>
      <c r="F16" s="16"/>
      <c r="G16" s="29">
        <v>5</v>
      </c>
      <c r="H16" s="29">
        <v>3</v>
      </c>
      <c r="I16" s="16"/>
      <c r="J16" s="82">
        <v>6</v>
      </c>
      <c r="K16" s="171" t="str">
        <f>PB6</f>
        <v>PONTIVY QUIMPER</v>
      </c>
      <c r="L16" s="16"/>
      <c r="M16" s="165"/>
      <c r="N16" s="164"/>
      <c r="O16" s="163"/>
      <c r="P16" s="110"/>
      <c r="Q16" s="111"/>
      <c r="R16" s="112"/>
    </row>
    <row r="17" spans="1:18" s="10" customFormat="1" ht="16.5" customHeight="1" thickBot="1" thickTop="1">
      <c r="A17" s="30" t="s">
        <v>28</v>
      </c>
      <c r="B17" s="52">
        <f t="shared" si="0"/>
        <v>0.5416666666666666</v>
      </c>
      <c r="C17" s="19">
        <v>9</v>
      </c>
      <c r="D17" s="171" t="str">
        <f>PA7</f>
        <v>LILLE</v>
      </c>
      <c r="E17" s="82">
        <v>7</v>
      </c>
      <c r="F17" s="16"/>
      <c r="G17" s="29">
        <v>0</v>
      </c>
      <c r="H17" s="29" t="s">
        <v>118</v>
      </c>
      <c r="I17" s="16"/>
      <c r="J17" s="82">
        <v>9</v>
      </c>
      <c r="K17" s="171" t="str">
        <f>PA9</f>
        <v>MARSEILLE</v>
      </c>
      <c r="L17" s="16"/>
      <c r="M17" s="165"/>
      <c r="N17" s="164"/>
      <c r="O17" s="163"/>
      <c r="P17" s="110"/>
      <c r="Q17" s="111"/>
      <c r="R17" s="112"/>
    </row>
    <row r="18" spans="1:18" s="10" customFormat="1" ht="16.5" customHeight="1" thickBot="1" thickTop="1">
      <c r="A18" s="30" t="s">
        <v>28</v>
      </c>
      <c r="B18" s="52">
        <f t="shared" si="0"/>
        <v>0.5416666666666666</v>
      </c>
      <c r="C18" s="19">
        <v>10</v>
      </c>
      <c r="D18" s="171" t="str">
        <f>PB8</f>
        <v>DINAN</v>
      </c>
      <c r="E18" s="82">
        <v>8</v>
      </c>
      <c r="F18" s="16"/>
      <c r="G18" s="29">
        <v>7</v>
      </c>
      <c r="H18" s="29">
        <v>0</v>
      </c>
      <c r="I18" s="16"/>
      <c r="J18" s="82">
        <v>10</v>
      </c>
      <c r="K18" s="171" t="str">
        <f>PB10</f>
        <v>CLERMONT ANNEMASSE</v>
      </c>
      <c r="L18" s="16"/>
      <c r="M18" s="165"/>
      <c r="N18" s="164"/>
      <c r="O18" s="166"/>
      <c r="P18" s="110"/>
      <c r="Q18" s="111"/>
      <c r="R18" s="112"/>
    </row>
    <row r="19" spans="1:18" s="10" customFormat="1" ht="16.5" customHeight="1" thickBot="1" thickTop="1">
      <c r="A19" s="30" t="s">
        <v>28</v>
      </c>
      <c r="B19" s="52">
        <f>B18+durée1</f>
        <v>0.5625</v>
      </c>
      <c r="C19" s="179" t="s">
        <v>27</v>
      </c>
      <c r="D19" s="180"/>
      <c r="E19" s="180"/>
      <c r="F19" s="180"/>
      <c r="G19" s="180"/>
      <c r="H19" s="180"/>
      <c r="I19" s="180"/>
      <c r="J19" s="180"/>
      <c r="K19" s="180"/>
      <c r="L19" s="160"/>
      <c r="M19" s="168"/>
      <c r="N19" s="168"/>
      <c r="O19" s="168"/>
      <c r="P19" s="160"/>
      <c r="Q19" s="160"/>
      <c r="R19" s="161"/>
    </row>
    <row r="20" spans="1:18" s="10" customFormat="1" ht="16.5" customHeight="1" thickBot="1" thickTop="1">
      <c r="A20" s="30" t="s">
        <v>28</v>
      </c>
      <c r="B20" s="52">
        <f>IF(G18="f",B19,IF(H18="f",B19,B19+durée1))</f>
        <v>0.5833333333333334</v>
      </c>
      <c r="C20" s="19">
        <v>11</v>
      </c>
      <c r="D20" s="171" t="str">
        <f>PA3</f>
        <v>LA ROCHELLE</v>
      </c>
      <c r="E20" s="82">
        <v>3</v>
      </c>
      <c r="F20" s="16"/>
      <c r="G20" s="29">
        <v>4</v>
      </c>
      <c r="H20" s="29">
        <v>2</v>
      </c>
      <c r="I20" s="16"/>
      <c r="J20" s="82">
        <v>5</v>
      </c>
      <c r="K20" s="171" t="str">
        <f>PA5</f>
        <v>DIDEROT XII</v>
      </c>
      <c r="L20" s="16"/>
      <c r="M20" s="165"/>
      <c r="N20" s="164"/>
      <c r="O20" s="163"/>
      <c r="P20" s="110"/>
      <c r="Q20" s="111"/>
      <c r="R20" s="112"/>
    </row>
    <row r="21" spans="1:18" s="10" customFormat="1" ht="16.5" customHeight="1" thickBot="1" thickTop="1">
      <c r="A21" s="30" t="s">
        <v>28</v>
      </c>
      <c r="B21" s="52">
        <f aca="true" t="shared" si="1" ref="B21:B30">IF(G20="f",B20,IF(H20="f",B20,B20+durée1))</f>
        <v>0.6041666666666667</v>
      </c>
      <c r="C21" s="19">
        <v>12</v>
      </c>
      <c r="D21" s="171" t="str">
        <f>PB4</f>
        <v>LAGNY</v>
      </c>
      <c r="E21" s="82">
        <v>4</v>
      </c>
      <c r="F21" s="16"/>
      <c r="G21" s="29">
        <v>0</v>
      </c>
      <c r="H21" s="29">
        <v>10</v>
      </c>
      <c r="I21" s="16"/>
      <c r="J21" s="82">
        <v>6</v>
      </c>
      <c r="K21" s="171" t="str">
        <f>PB6</f>
        <v>PONTIVY QUIMPER</v>
      </c>
      <c r="L21" s="16"/>
      <c r="M21" s="165"/>
      <c r="N21" s="164"/>
      <c r="O21" s="164"/>
      <c r="P21" s="110"/>
      <c r="Q21" s="111"/>
      <c r="R21" s="112"/>
    </row>
    <row r="22" spans="1:18" s="10" customFormat="1" ht="16.5" customHeight="1" thickBot="1" thickTop="1">
      <c r="A22" s="30" t="s">
        <v>28</v>
      </c>
      <c r="B22" s="52">
        <f t="shared" si="1"/>
        <v>0.6250000000000001</v>
      </c>
      <c r="C22" s="19">
        <v>13</v>
      </c>
      <c r="D22" s="171" t="str">
        <f>PA1</f>
        <v>PESSAC</v>
      </c>
      <c r="E22" s="82">
        <v>1</v>
      </c>
      <c r="F22" s="16"/>
      <c r="G22" s="29">
        <v>2</v>
      </c>
      <c r="H22" s="29">
        <v>2</v>
      </c>
      <c r="I22" s="16"/>
      <c r="J22" s="82">
        <v>7</v>
      </c>
      <c r="K22" s="171" t="str">
        <f>PA7</f>
        <v>LILLE</v>
      </c>
      <c r="L22" s="16"/>
      <c r="M22" s="162"/>
      <c r="N22" s="164"/>
      <c r="O22" s="164"/>
      <c r="P22" s="110"/>
      <c r="Q22" s="111"/>
      <c r="R22" s="112"/>
    </row>
    <row r="23" spans="1:18" s="10" customFormat="1" ht="16.5" customHeight="1" thickBot="1" thickTop="1">
      <c r="A23" s="30" t="s">
        <v>28</v>
      </c>
      <c r="B23" s="52">
        <f t="shared" si="1"/>
        <v>0.6458333333333335</v>
      </c>
      <c r="C23" s="19">
        <v>14</v>
      </c>
      <c r="D23" s="171" t="str">
        <f>PB2</f>
        <v>FONTENAY</v>
      </c>
      <c r="E23" s="82">
        <v>2</v>
      </c>
      <c r="F23" s="16"/>
      <c r="G23" s="29">
        <v>3</v>
      </c>
      <c r="H23" s="29">
        <v>1</v>
      </c>
      <c r="I23" s="16"/>
      <c r="J23" s="82">
        <v>8</v>
      </c>
      <c r="K23" s="171" t="str">
        <f>PB8</f>
        <v>DINAN</v>
      </c>
      <c r="L23" s="16"/>
      <c r="M23" s="165"/>
      <c r="N23" s="164"/>
      <c r="O23" s="167"/>
      <c r="P23" s="110"/>
      <c r="Q23" s="111"/>
      <c r="R23" s="112"/>
    </row>
    <row r="24" spans="1:18" s="10" customFormat="1" ht="16.5" customHeight="1" thickBot="1" thickTop="1">
      <c r="A24" s="30" t="s">
        <v>28</v>
      </c>
      <c r="B24" s="52">
        <f t="shared" si="1"/>
        <v>0.6666666666666669</v>
      </c>
      <c r="C24" s="19">
        <v>15</v>
      </c>
      <c r="D24" s="171" t="str">
        <f>PA5</f>
        <v>DIDEROT XII</v>
      </c>
      <c r="E24" s="82">
        <v>5</v>
      </c>
      <c r="F24" s="16"/>
      <c r="G24" s="29">
        <v>0</v>
      </c>
      <c r="H24" s="29" t="s">
        <v>118</v>
      </c>
      <c r="I24" s="16"/>
      <c r="J24" s="82">
        <v>9</v>
      </c>
      <c r="K24" s="171" t="str">
        <f>PA9</f>
        <v>MARSEILLE</v>
      </c>
      <c r="L24" s="16"/>
      <c r="M24" s="165"/>
      <c r="N24" s="164"/>
      <c r="O24" s="163"/>
      <c r="P24" s="110"/>
      <c r="Q24" s="111"/>
      <c r="R24" s="112"/>
    </row>
    <row r="25" spans="1:18" s="10" customFormat="1" ht="16.5" customHeight="1" thickBot="1" thickTop="1">
      <c r="A25" s="30" t="s">
        <v>28</v>
      </c>
      <c r="B25" s="52">
        <f t="shared" si="1"/>
        <v>0.6666666666666669</v>
      </c>
      <c r="C25" s="19">
        <v>16</v>
      </c>
      <c r="D25" s="171" t="str">
        <f>PB6</f>
        <v>PONTIVY QUIMPER</v>
      </c>
      <c r="E25" s="82">
        <v>6</v>
      </c>
      <c r="F25" s="16"/>
      <c r="G25" s="29">
        <v>1</v>
      </c>
      <c r="H25" s="29">
        <v>6</v>
      </c>
      <c r="I25" s="16"/>
      <c r="J25" s="82">
        <v>10</v>
      </c>
      <c r="K25" s="171" t="str">
        <f>PB10</f>
        <v>CLERMONT ANNEMASSE</v>
      </c>
      <c r="L25" s="16"/>
      <c r="M25" s="165"/>
      <c r="N25" s="164"/>
      <c r="O25" s="163"/>
      <c r="P25" s="110"/>
      <c r="Q25" s="111"/>
      <c r="R25" s="112"/>
    </row>
    <row r="26" spans="1:18" s="10" customFormat="1" ht="16.5" customHeight="1" thickBot="1" thickTop="1">
      <c r="A26" s="30" t="s">
        <v>28</v>
      </c>
      <c r="B26" s="52">
        <f t="shared" si="1"/>
        <v>0.6875000000000002</v>
      </c>
      <c r="C26" s="19">
        <v>17</v>
      </c>
      <c r="D26" s="171" t="str">
        <f>PA3</f>
        <v>LA ROCHELLE</v>
      </c>
      <c r="E26" s="82">
        <v>3</v>
      </c>
      <c r="F26" s="16"/>
      <c r="G26" s="29">
        <v>6</v>
      </c>
      <c r="H26" s="29">
        <v>3</v>
      </c>
      <c r="I26" s="16"/>
      <c r="J26" s="82">
        <v>7</v>
      </c>
      <c r="K26" s="171" t="str">
        <f>PA7</f>
        <v>LILLE</v>
      </c>
      <c r="L26" s="16"/>
      <c r="M26" s="165"/>
      <c r="N26" s="167"/>
      <c r="O26" s="164"/>
      <c r="P26" s="110"/>
      <c r="Q26" s="111"/>
      <c r="R26" s="112"/>
    </row>
    <row r="27" spans="1:18" s="10" customFormat="1" ht="16.5" customHeight="1" thickBot="1" thickTop="1">
      <c r="A27" s="30" t="s">
        <v>28</v>
      </c>
      <c r="B27" s="52">
        <f t="shared" si="1"/>
        <v>0.7083333333333336</v>
      </c>
      <c r="C27" s="19">
        <v>18</v>
      </c>
      <c r="D27" s="171" t="str">
        <f>PB4</f>
        <v>LAGNY</v>
      </c>
      <c r="E27" s="82">
        <v>4</v>
      </c>
      <c r="F27" s="16"/>
      <c r="G27" s="29">
        <v>0</v>
      </c>
      <c r="H27" s="29">
        <v>11</v>
      </c>
      <c r="I27" s="16"/>
      <c r="J27" s="82">
        <v>8</v>
      </c>
      <c r="K27" s="171" t="str">
        <f>PB8</f>
        <v>DINAN</v>
      </c>
      <c r="L27" s="16"/>
      <c r="M27" s="165"/>
      <c r="N27" s="164"/>
      <c r="O27" s="163"/>
      <c r="P27" s="110"/>
      <c r="Q27" s="111"/>
      <c r="R27" s="112"/>
    </row>
    <row r="28" spans="1:18" s="10" customFormat="1" ht="16.5" customHeight="1" thickBot="1" thickTop="1">
      <c r="A28" s="30" t="s">
        <v>28</v>
      </c>
      <c r="B28" s="52">
        <f t="shared" si="1"/>
        <v>0.729166666666667</v>
      </c>
      <c r="C28" s="19">
        <v>19</v>
      </c>
      <c r="D28" s="171" t="str">
        <f>PA1</f>
        <v>PESSAC</v>
      </c>
      <c r="E28" s="82">
        <v>1</v>
      </c>
      <c r="F28" s="16"/>
      <c r="G28" s="29">
        <v>0</v>
      </c>
      <c r="H28" s="29" t="s">
        <v>118</v>
      </c>
      <c r="I28" s="16"/>
      <c r="J28" s="82">
        <v>9</v>
      </c>
      <c r="K28" s="171" t="str">
        <f>PA9</f>
        <v>MARSEILLE</v>
      </c>
      <c r="L28" s="16"/>
      <c r="M28" s="165"/>
      <c r="N28" s="164"/>
      <c r="O28" s="164"/>
      <c r="P28" s="110"/>
      <c r="Q28" s="111"/>
      <c r="R28" s="112"/>
    </row>
    <row r="29" spans="1:18" s="10" customFormat="1" ht="17.25" customHeight="1" thickBot="1" thickTop="1">
      <c r="A29" s="30" t="s">
        <v>28</v>
      </c>
      <c r="B29" s="52">
        <f t="shared" si="1"/>
        <v>0.729166666666667</v>
      </c>
      <c r="C29" s="19">
        <v>20</v>
      </c>
      <c r="D29" s="171" t="str">
        <f>PB2</f>
        <v>FONTENAY</v>
      </c>
      <c r="E29" s="82">
        <v>2</v>
      </c>
      <c r="F29" s="16"/>
      <c r="G29" s="29">
        <v>6</v>
      </c>
      <c r="H29" s="29">
        <v>1</v>
      </c>
      <c r="I29" s="16"/>
      <c r="J29" s="82">
        <v>10</v>
      </c>
      <c r="K29" s="171" t="str">
        <f>PB10</f>
        <v>CLERMONT ANNEMASSE</v>
      </c>
      <c r="L29" s="16"/>
      <c r="M29" s="165"/>
      <c r="N29" s="164"/>
      <c r="O29" s="164"/>
      <c r="P29" s="110"/>
      <c r="Q29" s="111"/>
      <c r="R29" s="112"/>
    </row>
    <row r="30" spans="2:18" s="10" customFormat="1" ht="16.5" customHeight="1" thickBot="1" thickTop="1">
      <c r="B30" s="52">
        <f t="shared" si="1"/>
        <v>0.7500000000000003</v>
      </c>
      <c r="G30" s="97"/>
      <c r="H30" s="97"/>
      <c r="M30" s="169"/>
      <c r="N30" s="169"/>
      <c r="O30" s="169"/>
      <c r="P30" s="114"/>
      <c r="Q30" s="114"/>
      <c r="R30" s="114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71" t="str">
        <f>P4B</f>
        <v>PONTIVY QUIMPER</v>
      </c>
      <c r="E31" s="19" t="s">
        <v>26</v>
      </c>
      <c r="F31" s="16"/>
      <c r="G31" s="29">
        <v>0</v>
      </c>
      <c r="H31" s="29" t="s">
        <v>118</v>
      </c>
      <c r="I31" s="16"/>
      <c r="J31" s="19" t="s">
        <v>23</v>
      </c>
      <c r="K31" s="171" t="str">
        <f>P5A</f>
        <v>MARSEILLE</v>
      </c>
      <c r="L31" s="16"/>
      <c r="M31" s="165"/>
      <c r="N31" s="164"/>
      <c r="O31" s="164"/>
      <c r="P31" s="110"/>
      <c r="Q31" s="111"/>
      <c r="R31" s="112"/>
    </row>
    <row r="32" spans="1:18" s="10" customFormat="1" ht="16.5" customHeight="1" thickBot="1" thickTop="1">
      <c r="A32" s="59" t="s">
        <v>29</v>
      </c>
      <c r="B32" s="52">
        <f>IF(G31="f",B31,IF(H31="f",B31,B31+durée2))</f>
        <v>0.3333333333333333</v>
      </c>
      <c r="C32" s="19">
        <f>C31+1</f>
        <v>22</v>
      </c>
      <c r="D32" s="171" t="str">
        <f>P5B</f>
        <v>LAGNY</v>
      </c>
      <c r="E32" s="19" t="s">
        <v>25</v>
      </c>
      <c r="F32" s="16"/>
      <c r="G32" s="29">
        <v>3</v>
      </c>
      <c r="H32" s="29">
        <v>7</v>
      </c>
      <c r="I32" s="16"/>
      <c r="J32" s="19" t="s">
        <v>24</v>
      </c>
      <c r="K32" s="171" t="str">
        <f>P4A</f>
        <v>PESSAC</v>
      </c>
      <c r="L32" s="16"/>
      <c r="M32" s="165"/>
      <c r="N32" s="164"/>
      <c r="O32" s="164"/>
      <c r="P32" s="110"/>
      <c r="Q32" s="111"/>
      <c r="R32" s="112"/>
    </row>
    <row r="33" spans="1:18" s="10" customFormat="1" ht="16.5" customHeight="1" thickBot="1" thickTop="1">
      <c r="A33" s="59" t="s">
        <v>29</v>
      </c>
      <c r="B33" s="52">
        <f>IF(G32="f",B32,IF(H32="f",B32,B32+durée2))</f>
        <v>0.3576388888888889</v>
      </c>
      <c r="C33" s="19">
        <f>C32+1</f>
        <v>23</v>
      </c>
      <c r="D33" s="171" t="str">
        <f>P3A</f>
        <v>LILLE</v>
      </c>
      <c r="E33" s="19" t="s">
        <v>14</v>
      </c>
      <c r="F33" s="16"/>
      <c r="G33" s="29">
        <v>0</v>
      </c>
      <c r="H33" s="29">
        <v>6</v>
      </c>
      <c r="I33" s="16"/>
      <c r="J33" s="19" t="s">
        <v>12</v>
      </c>
      <c r="K33" s="171" t="str">
        <f>P2B</f>
        <v>DINAN</v>
      </c>
      <c r="L33" s="16"/>
      <c r="M33" s="165"/>
      <c r="N33" s="164"/>
      <c r="O33" s="163"/>
      <c r="P33" s="110"/>
      <c r="Q33" s="111"/>
      <c r="R33" s="112"/>
    </row>
    <row r="34" spans="1:18" s="10" customFormat="1" ht="16.5" customHeight="1" thickBot="1" thickTop="1">
      <c r="A34" s="59" t="s">
        <v>29</v>
      </c>
      <c r="B34" s="52">
        <f>IF(G33="f",B33,IF(H33="f",B33,B33+durée2))</f>
        <v>0.3819444444444445</v>
      </c>
      <c r="C34" s="19">
        <f>C33+1</f>
        <v>24</v>
      </c>
      <c r="D34" s="171" t="str">
        <f>P1A</f>
        <v>LA ROCHELLE</v>
      </c>
      <c r="E34" s="19" t="s">
        <v>10</v>
      </c>
      <c r="F34" s="16"/>
      <c r="G34" s="29">
        <v>7</v>
      </c>
      <c r="H34" s="29">
        <v>1</v>
      </c>
      <c r="I34" s="16"/>
      <c r="J34" s="19" t="s">
        <v>70</v>
      </c>
      <c r="K34" s="171" t="str">
        <f>IF(Poules!H28="","",Poules!H28)</f>
        <v>PONTIVY QUIMPER</v>
      </c>
      <c r="L34" s="16"/>
      <c r="M34" s="165"/>
      <c r="N34" s="164"/>
      <c r="O34" s="163"/>
      <c r="P34" s="110"/>
      <c r="Q34" s="111"/>
      <c r="R34" s="112"/>
    </row>
    <row r="35" spans="1:18" s="10" customFormat="1" ht="16.5" customHeight="1" thickBot="1" thickTop="1">
      <c r="A35" s="59" t="s">
        <v>29</v>
      </c>
      <c r="B35" s="52">
        <f>IF(G34="f",B34,IF(H34="f",B34,B34+durée2))</f>
        <v>0.40625000000000006</v>
      </c>
      <c r="C35" s="19">
        <f>C34+1</f>
        <v>25</v>
      </c>
      <c r="D35" s="171" t="str">
        <f>P2A</f>
        <v>DIDEROT XII</v>
      </c>
      <c r="E35" s="19" t="s">
        <v>11</v>
      </c>
      <c r="F35" s="16"/>
      <c r="G35" s="29">
        <v>6</v>
      </c>
      <c r="H35" s="29">
        <v>1</v>
      </c>
      <c r="I35" s="16"/>
      <c r="J35" s="19" t="s">
        <v>15</v>
      </c>
      <c r="K35" s="171" t="str">
        <f>P3B</f>
        <v>CLERMONT ANNEMASSE</v>
      </c>
      <c r="L35" s="16"/>
      <c r="M35" s="165"/>
      <c r="N35" s="164"/>
      <c r="O35" s="163"/>
      <c r="P35" s="110"/>
      <c r="Q35" s="111"/>
      <c r="R35" s="112"/>
    </row>
    <row r="36" spans="1:15" s="10" customFormat="1" ht="14.25" thickBot="1" thickTop="1">
      <c r="A36" s="59" t="s">
        <v>29</v>
      </c>
      <c r="B36" s="52">
        <f>IF(G35="f",B35,IF(H35="f",B35,B35+durée2))</f>
        <v>0.43055555555555564</v>
      </c>
      <c r="C36" s="19">
        <f>C35+1</f>
        <v>26</v>
      </c>
      <c r="D36" s="171" t="str">
        <f>IF(Poules!H31="","",Poules!H31)</f>
        <v>PESSAC</v>
      </c>
      <c r="E36" s="19" t="s">
        <v>71</v>
      </c>
      <c r="F36" s="16"/>
      <c r="G36" s="29">
        <v>0</v>
      </c>
      <c r="H36" s="29">
        <v>6</v>
      </c>
      <c r="I36" s="16"/>
      <c r="J36" s="32" t="s">
        <v>13</v>
      </c>
      <c r="K36" s="171" t="str">
        <f>P1B</f>
        <v>FONTENAY</v>
      </c>
      <c r="L36" s="16"/>
      <c r="M36" s="165"/>
      <c r="N36" s="164"/>
      <c r="O36" s="163"/>
    </row>
    <row r="37" spans="1:18" s="10" customFormat="1" ht="16.5" customHeight="1" thickBot="1" thickTop="1">
      <c r="A37" s="59" t="s">
        <v>29</v>
      </c>
      <c r="B37" s="52">
        <f>B36+durée2</f>
        <v>0.4548611111111112</v>
      </c>
      <c r="C37" s="179" t="s">
        <v>27</v>
      </c>
      <c r="D37" s="180"/>
      <c r="E37" s="180"/>
      <c r="F37" s="180"/>
      <c r="G37" s="180"/>
      <c r="H37" s="180"/>
      <c r="I37" s="180"/>
      <c r="J37" s="180"/>
      <c r="K37" s="180"/>
      <c r="L37" s="160"/>
      <c r="M37" s="168"/>
      <c r="N37" s="168"/>
      <c r="O37" s="168"/>
      <c r="P37" s="160"/>
      <c r="Q37" s="160"/>
      <c r="R37" s="160"/>
    </row>
    <row r="38" spans="1:15" s="10" customFormat="1" ht="14.25" thickBot="1" thickTop="1">
      <c r="A38" s="59" t="s">
        <v>29</v>
      </c>
      <c r="B38" s="52">
        <f>IF(G36="f",B37,IF(H36="f",B37,B37+durée2))</f>
        <v>0.4791666666666668</v>
      </c>
      <c r="C38" s="19">
        <f>C36+1</f>
        <v>27</v>
      </c>
      <c r="D38" s="171" t="str">
        <f>Poules!C35</f>
        <v>LILLE</v>
      </c>
      <c r="E38" s="19" t="s">
        <v>72</v>
      </c>
      <c r="F38" s="16"/>
      <c r="G38" s="29">
        <v>4</v>
      </c>
      <c r="H38" s="29">
        <v>6</v>
      </c>
      <c r="I38" s="16"/>
      <c r="J38" s="32" t="s">
        <v>73</v>
      </c>
      <c r="K38" s="171" t="str">
        <f>Poules!C36</f>
        <v>PONTIVY QUIMPER</v>
      </c>
      <c r="L38" s="16"/>
      <c r="M38" s="165"/>
      <c r="N38" s="164"/>
      <c r="O38" s="163"/>
    </row>
    <row r="39" spans="1:18" s="46" customFormat="1" ht="16.5" customHeight="1" thickBot="1" thickTop="1">
      <c r="A39" s="59" t="s">
        <v>29</v>
      </c>
      <c r="B39" s="52">
        <f aca="true" t="shared" si="2" ref="B39:B47">IF(G38="f",B38,IF(H38="f",B38,B38+durée2))</f>
        <v>0.5034722222222223</v>
      </c>
      <c r="C39" s="19">
        <f aca="true" t="shared" si="3" ref="C39:C46">C38+1</f>
        <v>28</v>
      </c>
      <c r="D39" s="171" t="str">
        <f>Poules!H35</f>
        <v>DINAN</v>
      </c>
      <c r="E39" s="19" t="s">
        <v>74</v>
      </c>
      <c r="F39" s="16"/>
      <c r="G39" s="29">
        <v>6</v>
      </c>
      <c r="H39" s="29">
        <v>1</v>
      </c>
      <c r="I39" s="16"/>
      <c r="J39" s="31" t="s">
        <v>75</v>
      </c>
      <c r="K39" s="171" t="str">
        <f>Poules!H36</f>
        <v>LA ROCHELLE</v>
      </c>
      <c r="L39" s="16"/>
      <c r="M39" s="165"/>
      <c r="N39" s="164"/>
      <c r="O39" s="163"/>
      <c r="P39" s="115"/>
      <c r="Q39" s="116"/>
      <c r="R39" s="117"/>
    </row>
    <row r="40" spans="1:18" s="10" customFormat="1" ht="16.5" customHeight="1" thickBot="1" thickTop="1">
      <c r="A40" s="59" t="s">
        <v>29</v>
      </c>
      <c r="B40" s="52">
        <f t="shared" si="2"/>
        <v>0.5277777777777779</v>
      </c>
      <c r="C40" s="19">
        <f t="shared" si="3"/>
        <v>29</v>
      </c>
      <c r="D40" s="171" t="str">
        <f>Poules!C39</f>
        <v>CLERMONT ANNEMASSE</v>
      </c>
      <c r="E40" s="19" t="s">
        <v>76</v>
      </c>
      <c r="F40" s="16"/>
      <c r="G40" s="29">
        <v>6</v>
      </c>
      <c r="H40" s="29">
        <v>0</v>
      </c>
      <c r="I40" s="16"/>
      <c r="J40" s="31" t="s">
        <v>77</v>
      </c>
      <c r="K40" s="171" t="str">
        <f>Poules!C40</f>
        <v>PESSAC</v>
      </c>
      <c r="L40" s="16"/>
      <c r="M40" s="165"/>
      <c r="N40" s="164"/>
      <c r="O40" s="163"/>
      <c r="P40" s="115"/>
      <c r="Q40" s="116"/>
      <c r="R40" s="117"/>
    </row>
    <row r="41" spans="1:18" s="10" customFormat="1" ht="16.5" customHeight="1" thickBot="1" thickTop="1">
      <c r="A41" s="59" t="s">
        <v>29</v>
      </c>
      <c r="B41" s="52">
        <f t="shared" si="2"/>
        <v>0.5520833333333335</v>
      </c>
      <c r="C41" s="19">
        <f t="shared" si="3"/>
        <v>30</v>
      </c>
      <c r="D41" s="171" t="str">
        <f>Poules!H39</f>
        <v>DIDEROT XII</v>
      </c>
      <c r="E41" s="31" t="s">
        <v>78</v>
      </c>
      <c r="F41" s="16"/>
      <c r="G41" s="29">
        <v>2</v>
      </c>
      <c r="H41" s="29">
        <v>7</v>
      </c>
      <c r="I41" s="16"/>
      <c r="J41" s="31" t="s">
        <v>79</v>
      </c>
      <c r="K41" s="171" t="str">
        <f>Poules!H40</f>
        <v>FONTENAY</v>
      </c>
      <c r="L41" s="16"/>
      <c r="M41" s="162"/>
      <c r="N41" s="170"/>
      <c r="O41" s="170"/>
      <c r="P41" s="115"/>
      <c r="Q41" s="116"/>
      <c r="R41" s="117"/>
    </row>
    <row r="42" spans="1:18" s="10" customFormat="1" ht="16.5" customHeight="1" thickBot="1" thickTop="1">
      <c r="A42" s="59" t="s">
        <v>29</v>
      </c>
      <c r="B42" s="52">
        <f t="shared" si="2"/>
        <v>0.5763888888888891</v>
      </c>
      <c r="C42" s="19">
        <f t="shared" si="3"/>
        <v>31</v>
      </c>
      <c r="D42" s="171" t="str">
        <f>Poules!C45</f>
        <v>LAGNY</v>
      </c>
      <c r="E42" s="31" t="s">
        <v>80</v>
      </c>
      <c r="F42" s="16"/>
      <c r="G42" s="29">
        <v>0</v>
      </c>
      <c r="H42" s="29" t="s">
        <v>118</v>
      </c>
      <c r="I42" s="16"/>
      <c r="J42" s="31" t="s">
        <v>81</v>
      </c>
      <c r="K42" s="171" t="str">
        <f>Poules!C46</f>
        <v>MARSEILLE</v>
      </c>
      <c r="L42" s="16"/>
      <c r="M42" s="162"/>
      <c r="N42" s="170"/>
      <c r="O42" s="167"/>
      <c r="P42" s="115"/>
      <c r="Q42" s="116"/>
      <c r="R42" s="117"/>
    </row>
    <row r="43" spans="1:18" s="10" customFormat="1" ht="16.5" customHeight="1" thickBot="1" thickTop="1">
      <c r="A43" s="59" t="s">
        <v>29</v>
      </c>
      <c r="B43" s="52">
        <f t="shared" si="2"/>
        <v>0.5763888888888891</v>
      </c>
      <c r="C43" s="19">
        <f t="shared" si="3"/>
        <v>32</v>
      </c>
      <c r="D43" s="171" t="str">
        <f>Poules!H45</f>
        <v>LILLE</v>
      </c>
      <c r="E43" s="31" t="s">
        <v>82</v>
      </c>
      <c r="F43" s="16"/>
      <c r="G43" s="29">
        <v>6</v>
      </c>
      <c r="H43" s="29">
        <v>1</v>
      </c>
      <c r="I43" s="16"/>
      <c r="J43" s="31" t="s">
        <v>83</v>
      </c>
      <c r="K43" s="171" t="str">
        <f>Poules!H46</f>
        <v>PESSAC</v>
      </c>
      <c r="L43" s="16"/>
      <c r="M43" s="162"/>
      <c r="N43" s="170"/>
      <c r="O43" s="170"/>
      <c r="P43" s="115"/>
      <c r="Q43" s="116"/>
      <c r="R43" s="117"/>
    </row>
    <row r="44" spans="1:18" s="10" customFormat="1" ht="16.5" customHeight="1" thickBot="1" thickTop="1">
      <c r="A44" s="59" t="s">
        <v>29</v>
      </c>
      <c r="B44" s="52">
        <f t="shared" si="2"/>
        <v>0.6006944444444446</v>
      </c>
      <c r="C44" s="19">
        <f t="shared" si="3"/>
        <v>33</v>
      </c>
      <c r="D44" s="171" t="str">
        <f>Poules!P45</f>
        <v>PONTIVY QUIMPER</v>
      </c>
      <c r="E44" s="31" t="s">
        <v>84</v>
      </c>
      <c r="F44" s="16"/>
      <c r="G44" s="29">
        <v>4</v>
      </c>
      <c r="H44" s="29">
        <v>5</v>
      </c>
      <c r="I44" s="16"/>
      <c r="J44" s="31" t="s">
        <v>85</v>
      </c>
      <c r="K44" s="171" t="str">
        <f>Poules!P46</f>
        <v>CLERMONT ANNEMASSE</v>
      </c>
      <c r="L44" s="16"/>
      <c r="M44" s="162"/>
      <c r="N44" s="170"/>
      <c r="O44" s="167"/>
      <c r="P44" s="115"/>
      <c r="Q44" s="116"/>
      <c r="R44" s="117"/>
    </row>
    <row r="45" spans="1:18" s="10" customFormat="1" ht="16.5" customHeight="1" thickBot="1" thickTop="1">
      <c r="A45" s="59" t="s">
        <v>29</v>
      </c>
      <c r="B45" s="52">
        <f t="shared" si="2"/>
        <v>0.6250000000000002</v>
      </c>
      <c r="C45" s="19">
        <f t="shared" si="3"/>
        <v>34</v>
      </c>
      <c r="D45" s="171" t="str">
        <f>Poules!E49</f>
        <v>LA ROCHELLE</v>
      </c>
      <c r="E45" s="31" t="s">
        <v>86</v>
      </c>
      <c r="F45" s="16"/>
      <c r="G45" s="29">
        <v>4</v>
      </c>
      <c r="H45" s="29">
        <v>2</v>
      </c>
      <c r="I45" s="16"/>
      <c r="J45" s="31" t="s">
        <v>87</v>
      </c>
      <c r="K45" s="171" t="str">
        <f>Poules!E50</f>
        <v>DIDEROT XII</v>
      </c>
      <c r="L45" s="16"/>
      <c r="M45" s="162"/>
      <c r="N45" s="170"/>
      <c r="O45" s="170"/>
      <c r="P45" s="115"/>
      <c r="Q45" s="116"/>
      <c r="R45" s="117"/>
    </row>
    <row r="46" spans="1:18" s="10" customFormat="1" ht="16.5" customHeight="1" thickBot="1" thickTop="1">
      <c r="A46" s="59" t="s">
        <v>29</v>
      </c>
      <c r="B46" s="52">
        <f t="shared" si="2"/>
        <v>0.6493055555555558</v>
      </c>
      <c r="C46" s="19">
        <f t="shared" si="3"/>
        <v>35</v>
      </c>
      <c r="D46" s="171" t="str">
        <f>Poules!M49</f>
        <v>DINAN</v>
      </c>
      <c r="E46" s="31" t="s">
        <v>88</v>
      </c>
      <c r="F46" s="16"/>
      <c r="G46" s="29">
        <v>0</v>
      </c>
      <c r="H46" s="29">
        <v>2</v>
      </c>
      <c r="I46" s="16"/>
      <c r="J46" s="31" t="s">
        <v>89</v>
      </c>
      <c r="K46" s="171" t="str">
        <f>Poules!M50</f>
        <v>FONTENAY</v>
      </c>
      <c r="L46" s="16"/>
      <c r="M46" s="162"/>
      <c r="N46" s="170"/>
      <c r="O46" s="170"/>
      <c r="P46" s="115"/>
      <c r="Q46" s="116"/>
      <c r="R46" s="117"/>
    </row>
    <row r="47" spans="1:15" s="10" customFormat="1" ht="15" thickBot="1" thickTop="1">
      <c r="A47" s="59" t="s">
        <v>29</v>
      </c>
      <c r="B47" s="52">
        <f t="shared" si="2"/>
        <v>0.6736111111111114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/>
  <mergeCells count="13">
    <mergeCell ref="P8:R8"/>
    <mergeCell ref="B6:D6"/>
    <mergeCell ref="G1:H1"/>
    <mergeCell ref="M7:O7"/>
    <mergeCell ref="G2:H2"/>
    <mergeCell ref="C19:K19"/>
    <mergeCell ref="C37:K37"/>
    <mergeCell ref="B5:D5"/>
    <mergeCell ref="B4:F4"/>
    <mergeCell ref="K4:O4"/>
    <mergeCell ref="I1:O1"/>
    <mergeCell ref="I2:O2"/>
    <mergeCell ref="J3:O3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182" t="str">
        <f>saison</f>
        <v>2021 / 2022</v>
      </c>
      <c r="K1" s="183"/>
      <c r="L1" s="183"/>
      <c r="M1" s="183"/>
      <c r="N1" s="183"/>
      <c r="O1" s="183"/>
      <c r="P1" s="183"/>
      <c r="Q1" s="183"/>
      <c r="R1" s="183"/>
      <c r="S1" s="184"/>
    </row>
    <row r="2" spans="6:19" s="71" customFormat="1" ht="30" customHeight="1">
      <c r="F2" s="72"/>
      <c r="G2" s="72"/>
      <c r="H2" s="54" t="s">
        <v>37</v>
      </c>
      <c r="J2" s="210" t="str">
        <f>lieu</f>
        <v>Le Puy en Velay</v>
      </c>
      <c r="K2" s="211"/>
      <c r="L2" s="211"/>
      <c r="M2" s="211"/>
      <c r="N2" s="211"/>
      <c r="O2" s="211"/>
      <c r="P2" s="211"/>
      <c r="Q2" s="211"/>
      <c r="R2" s="211"/>
      <c r="S2" s="212"/>
    </row>
    <row r="3" spans="12:19" s="73" customFormat="1" ht="25.5" customHeight="1">
      <c r="L3" s="185" t="s">
        <v>55</v>
      </c>
      <c r="M3" s="185"/>
      <c r="N3" s="185"/>
      <c r="O3" s="185"/>
      <c r="P3" s="185"/>
      <c r="Q3" s="185"/>
      <c r="R3" s="185"/>
      <c r="S3" s="185"/>
    </row>
    <row r="4" spans="1:20" s="73" customFormat="1" ht="21" customHeight="1">
      <c r="A4" s="54" t="s">
        <v>38</v>
      </c>
      <c r="C4" s="182" t="str">
        <f>date</f>
        <v>12 et 13 mars 2022</v>
      </c>
      <c r="D4" s="183"/>
      <c r="E4" s="183"/>
      <c r="F4" s="183"/>
      <c r="G4" s="183"/>
      <c r="H4" s="184"/>
      <c r="I4" s="189" t="s">
        <v>39</v>
      </c>
      <c r="J4" s="189"/>
      <c r="K4" s="190"/>
      <c r="L4" s="182" t="str">
        <f>catégorie</f>
        <v>Division 2 Féminine</v>
      </c>
      <c r="M4" s="183"/>
      <c r="N4" s="183"/>
      <c r="O4" s="183"/>
      <c r="P4" s="183"/>
      <c r="Q4" s="183"/>
      <c r="R4" s="183"/>
      <c r="S4" s="183"/>
      <c r="T4" s="184"/>
    </row>
    <row r="5" spans="1:24" s="85" customFormat="1" ht="18" customHeight="1">
      <c r="A5" s="83"/>
      <c r="B5" s="181" t="s">
        <v>54</v>
      </c>
      <c r="C5" s="181"/>
      <c r="D5" s="181"/>
      <c r="E5" s="84" t="str">
        <f>edurée1</f>
        <v>2*11' + 2' mi-temps + 1 temps mort / équipe +4' inter match= 30'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  <c r="S5" s="83"/>
      <c r="T5" s="83"/>
      <c r="U5" s="83"/>
      <c r="V5" s="83"/>
      <c r="W5" s="83"/>
      <c r="X5" s="83"/>
    </row>
    <row r="6" spans="1:24" s="85" customFormat="1" ht="18" customHeight="1">
      <c r="A6" s="83"/>
      <c r="B6" s="181" t="s">
        <v>96</v>
      </c>
      <c r="C6" s="181"/>
      <c r="D6" s="181"/>
      <c r="E6" s="84" t="str">
        <f>edurée2</f>
        <v>2*13' + 2' mi-temps + 1 temps mort / équipe +4' inter match= 34'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3"/>
      <c r="R6" s="83"/>
      <c r="S6" s="83"/>
      <c r="T6" s="83"/>
      <c r="U6" s="83"/>
      <c r="V6" s="83"/>
      <c r="W6" s="83"/>
      <c r="X6" s="83"/>
    </row>
    <row r="7" spans="1:24" s="71" customFormat="1" ht="30.75" customHeight="1" thickBot="1">
      <c r="A7" s="75"/>
      <c r="B7" s="76"/>
      <c r="C7" s="60" t="s">
        <v>51</v>
      </c>
      <c r="D7" s="89">
        <v>1</v>
      </c>
      <c r="E7" s="89">
        <v>3</v>
      </c>
      <c r="F7" s="89">
        <v>5</v>
      </c>
      <c r="G7" s="90">
        <v>7</v>
      </c>
      <c r="H7" s="90">
        <v>9</v>
      </c>
      <c r="I7" s="90">
        <v>11</v>
      </c>
      <c r="J7" s="90">
        <v>13</v>
      </c>
      <c r="K7" s="90">
        <v>15</v>
      </c>
      <c r="L7" s="90">
        <v>17</v>
      </c>
      <c r="M7" s="90">
        <v>19</v>
      </c>
      <c r="N7" s="49" t="s">
        <v>21</v>
      </c>
      <c r="O7" s="49" t="s">
        <v>22</v>
      </c>
      <c r="P7" s="209" t="s">
        <v>30</v>
      </c>
      <c r="Q7" s="209"/>
      <c r="R7" s="209" t="s">
        <v>31</v>
      </c>
      <c r="S7" s="209"/>
      <c r="T7" s="75"/>
      <c r="U7" s="75"/>
      <c r="V7" s="75"/>
      <c r="W7" s="75"/>
      <c r="X7" s="75"/>
    </row>
    <row r="8" spans="2:19" ht="16.5" thickBot="1" thickTop="1">
      <c r="B8" s="40">
        <v>1</v>
      </c>
      <c r="C8" s="91" t="str">
        <f>PA1</f>
        <v>PESSAC</v>
      </c>
      <c r="D8" s="40">
        <f>IF(grille!G9&lt;&gt;"",grille!G9,"")</f>
        <v>1</v>
      </c>
      <c r="E8" s="101"/>
      <c r="F8" s="101"/>
      <c r="G8" s="35">
        <f>IF(grille!G15&lt;&gt;"",grille!G15,"")</f>
        <v>0</v>
      </c>
      <c r="H8" s="101"/>
      <c r="I8" s="101"/>
      <c r="J8" s="35">
        <f>IF(grille!G22&lt;&gt;"",grille!G22,"")</f>
        <v>2</v>
      </c>
      <c r="K8" s="101"/>
      <c r="L8" s="101"/>
      <c r="M8" s="41">
        <f>IF(grille!G28&lt;&gt;"",grille!G28,"")</f>
        <v>0</v>
      </c>
      <c r="N8" s="144">
        <f>CalculPointMatchs(D8,D9,G8,G10,J8,J11,M8,M12)</f>
        <v>7.985003</v>
      </c>
      <c r="O8" s="33">
        <f>IF(AND(N8&lt;&gt;"",N9&lt;&gt;"",N10&lt;&gt;"",N11&lt;&gt;"",N12&lt;&gt;""),RANK(N8,N$8:N$12),"")</f>
        <v>4</v>
      </c>
      <c r="P8" s="208">
        <f>SUM(D9,G10,J11,M12)</f>
        <v>15</v>
      </c>
      <c r="Q8" s="207"/>
      <c r="R8" s="206">
        <f>SUM(D8:M8)</f>
        <v>3</v>
      </c>
      <c r="S8" s="207"/>
    </row>
    <row r="9" spans="2:19" ht="16.5" thickBot="1" thickTop="1">
      <c r="B9" s="42">
        <v>3</v>
      </c>
      <c r="C9" s="92" t="str">
        <f>PA3</f>
        <v>LA ROCHELLE</v>
      </c>
      <c r="D9" s="42">
        <f>IF(grille!H9&lt;&gt;"",grille!H9,"")</f>
        <v>6</v>
      </c>
      <c r="E9" s="100"/>
      <c r="F9" s="36">
        <f>IF(grille!G13&lt;&gt;"",grille!G13,"")</f>
        <v>0</v>
      </c>
      <c r="G9" s="100"/>
      <c r="H9" s="100"/>
      <c r="I9" s="36">
        <f>IF(grille!G20&lt;&gt;"",grille!G20,"")</f>
        <v>4</v>
      </c>
      <c r="J9" s="100"/>
      <c r="K9" s="100"/>
      <c r="L9" s="36">
        <f>IF(grille!G26&lt;&gt;"",grille!G26,"")</f>
        <v>6</v>
      </c>
      <c r="M9" s="102"/>
      <c r="N9" s="144">
        <f>CalculPointMatchs(D9,D8,F9,F12,I9,I10,L9,L11)</f>
        <v>15.994016</v>
      </c>
      <c r="O9" s="33">
        <f>IF(AND(N8&lt;&gt;"",N9&lt;&gt;"",N10&lt;&gt;"",N11&lt;&gt;"",N12&lt;&gt;""),RANK(N9,N$8:N$12),"")</f>
        <v>1</v>
      </c>
      <c r="P9" s="208">
        <f>SUM(D8,F12,I10,L11)</f>
        <v>6</v>
      </c>
      <c r="Q9" s="207"/>
      <c r="R9" s="206">
        <f>SUM(D9:M9)</f>
        <v>16</v>
      </c>
      <c r="S9" s="207"/>
    </row>
    <row r="10" spans="2:19" ht="16.5" thickBot="1" thickTop="1">
      <c r="B10" s="42">
        <v>5</v>
      </c>
      <c r="C10" s="92" t="str">
        <f>PA5</f>
        <v>DIDEROT XII</v>
      </c>
      <c r="D10" s="98"/>
      <c r="E10" s="36">
        <f>IF(grille!G11&lt;&gt;"",grille!G11,"")</f>
        <v>6</v>
      </c>
      <c r="F10" s="100"/>
      <c r="G10" s="36">
        <f>IF(grille!H15&lt;&gt;"",grille!H15,"")</f>
        <v>7</v>
      </c>
      <c r="H10" s="100"/>
      <c r="I10" s="36">
        <f>IF(grille!H20&lt;&gt;"",grille!H20,"")</f>
        <v>2</v>
      </c>
      <c r="J10" s="100"/>
      <c r="K10" s="36">
        <f>IF(grille!G24&lt;&gt;"",grille!G24,"")</f>
        <v>0</v>
      </c>
      <c r="L10" s="100"/>
      <c r="M10" s="102"/>
      <c r="N10" s="144">
        <f>CalculPointMatchs(E10,E11,G10,G8,I10,I9,K10,K12)</f>
        <v>12.996015</v>
      </c>
      <c r="O10" s="33">
        <f>IF(AND(N8&lt;&gt;"",N9&lt;&gt;"",N10&lt;&gt;"",N11&lt;&gt;"",N12&lt;&gt;""),RANK(N10,N$8:N$12),"")</f>
        <v>2</v>
      </c>
      <c r="P10" s="208">
        <f>SUM(E11,G8,I9,K12)</f>
        <v>4</v>
      </c>
      <c r="Q10" s="207"/>
      <c r="R10" s="206">
        <f>SUM(D10:M10)</f>
        <v>15</v>
      </c>
      <c r="S10" s="207"/>
    </row>
    <row r="11" spans="2:19" ht="16.5" thickBot="1" thickTop="1">
      <c r="B11" s="42">
        <v>7</v>
      </c>
      <c r="C11" s="92" t="str">
        <f>PA7</f>
        <v>LILLE</v>
      </c>
      <c r="D11" s="98"/>
      <c r="E11" s="36">
        <f>IF(grille!H11&lt;&gt;"",grille!H11,"")</f>
        <v>0</v>
      </c>
      <c r="F11" s="100"/>
      <c r="G11" s="100"/>
      <c r="H11" s="24">
        <f>IF(grille!G17&lt;&gt;"",grille!G17,"")</f>
        <v>0</v>
      </c>
      <c r="I11" s="100"/>
      <c r="J11" s="24">
        <f>IF(grille!H22&lt;&gt;"",grille!H22,"")</f>
        <v>2</v>
      </c>
      <c r="K11" s="100"/>
      <c r="L11" s="36">
        <f>IF(grille!H26&lt;&gt;"",grille!H26,"")</f>
        <v>3</v>
      </c>
      <c r="M11" s="102"/>
      <c r="N11" s="144">
        <f>CalculPointMatchs(E11,E10,H11,H12,J11,J8,L11,L9)</f>
        <v>7.986005</v>
      </c>
      <c r="O11" s="33">
        <f>IF(AND(N8&lt;&gt;"",N9&lt;&gt;"",N10&lt;&gt;"",N11&lt;&gt;"",N12&lt;&gt;""),RANK(N11,N$8:N$12),"")</f>
        <v>3</v>
      </c>
      <c r="P11" s="208">
        <f>SUM(E10,H12,J8,L9)</f>
        <v>14</v>
      </c>
      <c r="Q11" s="207"/>
      <c r="R11" s="206">
        <f>SUM(D11:M11)</f>
        <v>5</v>
      </c>
      <c r="S11" s="207"/>
    </row>
    <row r="12" spans="2:19" ht="16.5" thickBot="1" thickTop="1">
      <c r="B12" s="53">
        <v>9</v>
      </c>
      <c r="C12" s="93" t="str">
        <f>PA9</f>
        <v>MARSEILLE</v>
      </c>
      <c r="D12" s="99"/>
      <c r="E12" s="103"/>
      <c r="F12" s="25" t="str">
        <f>IF(grille!H13&lt;&gt;"",grille!H13,"")</f>
        <v>F</v>
      </c>
      <c r="G12" s="103"/>
      <c r="H12" s="25" t="str">
        <f>IF(grille!H17&lt;&gt;"",grille!H17,"")</f>
        <v>F</v>
      </c>
      <c r="I12" s="103"/>
      <c r="J12" s="103"/>
      <c r="K12" s="37" t="str">
        <f>IF(grille!H24&lt;&gt;"",grille!H24,"")</f>
        <v>F</v>
      </c>
      <c r="L12" s="103"/>
      <c r="M12" s="39" t="str">
        <f>IF(grille!H28&lt;&gt;"",grille!H28,"")</f>
        <v>F</v>
      </c>
      <c r="N12" s="145">
        <f>CalculPointMatchs(F12,F9,H12,H11,K12,K10,M12,M8)</f>
        <v>0</v>
      </c>
      <c r="O12" s="33">
        <v>5</v>
      </c>
      <c r="P12" s="208">
        <f>SUM(F9,H11,K10,M8)</f>
        <v>0</v>
      </c>
      <c r="Q12" s="207"/>
      <c r="R12" s="206">
        <f>SUM(D12:M12)</f>
        <v>0</v>
      </c>
      <c r="S12" s="207"/>
    </row>
    <row r="13" spans="2:23" ht="1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89">
        <v>2</v>
      </c>
      <c r="E15" s="89">
        <v>4</v>
      </c>
      <c r="F15" s="89">
        <v>6</v>
      </c>
      <c r="G15" s="90">
        <v>8</v>
      </c>
      <c r="H15" s="90">
        <v>10</v>
      </c>
      <c r="I15" s="90">
        <v>12</v>
      </c>
      <c r="J15" s="90">
        <v>14</v>
      </c>
      <c r="K15" s="90">
        <v>16</v>
      </c>
      <c r="L15" s="90">
        <v>18</v>
      </c>
      <c r="M15" s="90">
        <v>20</v>
      </c>
      <c r="N15" s="49" t="s">
        <v>21</v>
      </c>
      <c r="O15" s="49" t="s">
        <v>22</v>
      </c>
      <c r="P15" s="209" t="s">
        <v>30</v>
      </c>
      <c r="Q15" s="209"/>
      <c r="R15" s="209" t="s">
        <v>31</v>
      </c>
      <c r="S15" s="209"/>
    </row>
    <row r="16" spans="2:19" ht="16.5" thickBot="1" thickTop="1">
      <c r="B16" s="40">
        <v>2</v>
      </c>
      <c r="C16" s="91" t="str">
        <f>PB2</f>
        <v>FONTENAY</v>
      </c>
      <c r="D16" s="40">
        <f>IF(grille!G10&lt;&gt;"",grille!G10,"")</f>
        <v>11</v>
      </c>
      <c r="E16" s="101"/>
      <c r="F16" s="101"/>
      <c r="G16" s="35">
        <f>IF(grille!G16&lt;&gt;"",grille!G16,"")</f>
        <v>5</v>
      </c>
      <c r="H16" s="101"/>
      <c r="I16" s="101"/>
      <c r="J16" s="35">
        <f>IF(grille!G23&lt;&gt;"",grille!G23,"")</f>
        <v>3</v>
      </c>
      <c r="K16" s="101"/>
      <c r="L16" s="101"/>
      <c r="M16" s="41">
        <f>IF(grille!G29&lt;&gt;"",grille!G29,"")</f>
        <v>6</v>
      </c>
      <c r="N16" s="144">
        <f>CalculPointMatchs(D16,D17,G16,G18,J16,J19,M16,M20)</f>
        <v>15.995025</v>
      </c>
      <c r="O16" s="33">
        <f>IF(AND(N16&lt;&gt;"",N17&lt;&gt;"",N18&lt;&gt;"",N19&lt;&gt;"",N20&lt;&gt;""),RANK(N16,N$16:N$20),"")</f>
        <v>1</v>
      </c>
      <c r="P16" s="208">
        <f>SUM(D17,G18,J19,M20)</f>
        <v>5</v>
      </c>
      <c r="Q16" s="207"/>
      <c r="R16" s="206">
        <f>SUM(D16:M16)</f>
        <v>25</v>
      </c>
      <c r="S16" s="207"/>
    </row>
    <row r="17" spans="2:19" ht="16.5" thickBot="1" thickTop="1">
      <c r="B17" s="42">
        <v>4</v>
      </c>
      <c r="C17" s="92" t="str">
        <f>PB4</f>
        <v>LAGNY</v>
      </c>
      <c r="D17" s="42">
        <f>IF(grille!H10&lt;&gt;"",grille!H10,"")</f>
        <v>0</v>
      </c>
      <c r="E17" s="100"/>
      <c r="F17" s="36">
        <f>IF(grille!G14&lt;&gt;"",grille!G14,"")</f>
        <v>0</v>
      </c>
      <c r="G17" s="100"/>
      <c r="H17" s="100"/>
      <c r="I17" s="36">
        <f>IF(grille!G21&lt;&gt;"",grille!G21,"")</f>
        <v>0</v>
      </c>
      <c r="J17" s="100"/>
      <c r="K17" s="100"/>
      <c r="L17" s="36">
        <f>IF(grille!G27&lt;&gt;"",grille!G27,"")</f>
        <v>0</v>
      </c>
      <c r="M17" s="102"/>
      <c r="N17" s="144">
        <f>CalculPointMatchs(D17,D16,F17,F20,I17,I18,L17,L19)</f>
        <v>3.958</v>
      </c>
      <c r="O17" s="33">
        <f>IF(AND(N16&lt;&gt;"",N17&lt;&gt;"",N18&lt;&gt;"",N19&lt;&gt;"",N20&lt;&gt;""),RANK(N17,N$16:N$20),"")</f>
        <v>5</v>
      </c>
      <c r="P17" s="208">
        <f>SUM(D16,F20,I18,L19)</f>
        <v>42</v>
      </c>
      <c r="Q17" s="207"/>
      <c r="R17" s="206">
        <f>SUM(D17:M17)</f>
        <v>0</v>
      </c>
      <c r="S17" s="207"/>
    </row>
    <row r="18" spans="2:19" ht="16.5" thickBot="1" thickTop="1">
      <c r="B18" s="42">
        <v>6</v>
      </c>
      <c r="C18" s="173" t="str">
        <f>PB6</f>
        <v>PONTIVY QUIMPER</v>
      </c>
      <c r="D18" s="98"/>
      <c r="E18" s="36">
        <f>IF(grille!G12&lt;&gt;"",grille!G12,"")</f>
        <v>1</v>
      </c>
      <c r="F18" s="100"/>
      <c r="G18" s="36">
        <f>IF(grille!H16&lt;&gt;"",grille!H16,"")</f>
        <v>3</v>
      </c>
      <c r="H18" s="100"/>
      <c r="I18" s="36">
        <f>IF(grille!H21&lt;&gt;"",grille!H21,"")</f>
        <v>10</v>
      </c>
      <c r="J18" s="100"/>
      <c r="K18" s="36">
        <f>IF(grille!G25&lt;&gt;"",grille!G25,"")</f>
        <v>1</v>
      </c>
      <c r="L18" s="100"/>
      <c r="M18" s="102"/>
      <c r="N18" s="144">
        <f>CalculPointMatchs(E18,E19,G18,G16,I18,I17,K18,K20)</f>
        <v>6.981015</v>
      </c>
      <c r="O18" s="33">
        <f>IF(AND(N16&lt;&gt;"",N17&lt;&gt;"",N18&lt;&gt;"",N19&lt;&gt;"",N20&lt;&gt;""),RANK(N18,N$16:N$20),"")</f>
        <v>4</v>
      </c>
      <c r="P18" s="208">
        <f>SUM(E19,G16,I17,K20)</f>
        <v>19</v>
      </c>
      <c r="Q18" s="207"/>
      <c r="R18" s="206">
        <f>SUM(D18:M18)</f>
        <v>15</v>
      </c>
      <c r="S18" s="207"/>
    </row>
    <row r="19" spans="2:19" ht="16.5" thickBot="1" thickTop="1">
      <c r="B19" s="42">
        <v>8</v>
      </c>
      <c r="C19" s="92" t="str">
        <f>PB8</f>
        <v>DINAN</v>
      </c>
      <c r="D19" s="98"/>
      <c r="E19" s="36">
        <f>IF(grille!H12&lt;&gt;"",grille!H12,"")</f>
        <v>8</v>
      </c>
      <c r="F19" s="100"/>
      <c r="G19" s="100"/>
      <c r="H19" s="24">
        <f>IF(grille!G18&lt;&gt;"",grille!G18,"")</f>
        <v>7</v>
      </c>
      <c r="I19" s="100"/>
      <c r="J19" s="24">
        <f>IF(grille!H23&lt;&gt;"",grille!H23,"")</f>
        <v>1</v>
      </c>
      <c r="K19" s="100"/>
      <c r="L19" s="36">
        <f>IF(grille!H27&lt;&gt;"",grille!H27,"")</f>
        <v>11</v>
      </c>
      <c r="M19" s="102"/>
      <c r="N19" s="144">
        <f>CalculPointMatchs(E19,E18,H19,H20,J19,J16,L19,L17)</f>
        <v>12.996027</v>
      </c>
      <c r="O19" s="33">
        <f>IF(AND(N16&lt;&gt;"",N17&lt;&gt;"",N18&lt;&gt;"",N19&lt;&gt;"",N20&lt;&gt;""),RANK(N19,N$16:N$20),"")</f>
        <v>2</v>
      </c>
      <c r="P19" s="208">
        <f>SUM(E18,H20,J16,L17)</f>
        <v>4</v>
      </c>
      <c r="Q19" s="207"/>
      <c r="R19" s="206">
        <f>SUM(D19:M19)</f>
        <v>27</v>
      </c>
      <c r="S19" s="207"/>
    </row>
    <row r="20" spans="2:19" ht="16.5" thickBot="1" thickTop="1">
      <c r="B20" s="53">
        <v>10</v>
      </c>
      <c r="C20" s="174" t="str">
        <f>PB10</f>
        <v>CLERMONT ANNEMASSE</v>
      </c>
      <c r="D20" s="99"/>
      <c r="E20" s="103"/>
      <c r="F20" s="25">
        <f>IF(grille!H14&lt;&gt;"",grille!H14,"")</f>
        <v>10</v>
      </c>
      <c r="G20" s="103"/>
      <c r="H20" s="25">
        <f>IF(grille!H18&lt;&gt;"",grille!H18,"")</f>
        <v>0</v>
      </c>
      <c r="I20" s="103"/>
      <c r="J20" s="103"/>
      <c r="K20" s="37">
        <f>IF(grille!H25&lt;&gt;"",grille!H25,"")</f>
        <v>6</v>
      </c>
      <c r="L20" s="103"/>
      <c r="M20" s="39">
        <f>IF(grille!H29&lt;&gt;"",grille!H29,"")</f>
        <v>1</v>
      </c>
      <c r="N20" s="145">
        <f>CalculPointMatchs(F20,F17,H20,H19,K20,K18,M20,M16)</f>
        <v>9.986017</v>
      </c>
      <c r="O20" s="33">
        <f>IF(AND(N16&lt;&gt;"",N17&lt;&gt;"",N18&lt;&gt;"",N19&lt;&gt;"",N20&lt;&gt;""),RANK(N20,N$16:N$20),"")</f>
        <v>3</v>
      </c>
      <c r="P20" s="208">
        <f>SUM(F17,H19,K18,M16)</f>
        <v>14</v>
      </c>
      <c r="Q20" s="207"/>
      <c r="R20" s="206">
        <f>SUM(D20:M20)</f>
        <v>17</v>
      </c>
      <c r="S20" s="207"/>
    </row>
    <row r="21" spans="2:22" ht="1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5.75" thickBot="1">
      <c r="B22" s="124"/>
      <c r="C22" s="124"/>
      <c r="D22" s="124" t="s">
        <v>59</v>
      </c>
      <c r="E22" s="146"/>
      <c r="F22" s="43"/>
      <c r="G22" s="43"/>
      <c r="H22" s="124"/>
      <c r="I22" s="124"/>
      <c r="J22" s="124"/>
      <c r="K22" s="124"/>
      <c r="L22" s="124" t="s">
        <v>60</v>
      </c>
      <c r="M22" s="124"/>
      <c r="N22" s="124"/>
      <c r="O22" s="124"/>
      <c r="P22" s="124"/>
      <c r="Q22" s="124"/>
      <c r="R22" s="124"/>
      <c r="S22" s="124"/>
      <c r="T22" s="124"/>
      <c r="U22" s="20"/>
      <c r="V22" s="20"/>
    </row>
    <row r="23" spans="2:20" ht="15">
      <c r="B23" s="147"/>
      <c r="C23" s="147"/>
      <c r="D23" s="126" t="s">
        <v>26</v>
      </c>
      <c r="E23" s="197" t="str">
        <f>_xlfn.IFERROR(INDEX(C16:C20,MATCH(4,O16:O20,0)),"")</f>
        <v>PONTIVY QUIMPER</v>
      </c>
      <c r="F23" s="198"/>
      <c r="G23" s="198"/>
      <c r="H23" s="199"/>
      <c r="I23" s="149">
        <f>IF(grille!G31&lt;&gt;"",grille!G31,"")</f>
        <v>0</v>
      </c>
      <c r="J23" s="150"/>
      <c r="K23" s="43"/>
      <c r="L23" s="126" t="s">
        <v>25</v>
      </c>
      <c r="M23" s="197" t="str">
        <f>_xlfn.IFERROR(INDEX(C16:C20,MATCH(5,O16:O20,0)),"")</f>
        <v>LAGNY</v>
      </c>
      <c r="N23" s="198"/>
      <c r="O23" s="198"/>
      <c r="P23" s="199"/>
      <c r="Q23" s="149">
        <f>IF(grille!G32&lt;&gt;"",grille!G32,"")</f>
        <v>3</v>
      </c>
      <c r="R23" s="124"/>
      <c r="S23" s="147"/>
      <c r="T23" s="147"/>
    </row>
    <row r="24" spans="2:20" ht="15.75" thickBot="1">
      <c r="B24" s="147"/>
      <c r="C24" s="147"/>
      <c r="D24" s="127" t="s">
        <v>23</v>
      </c>
      <c r="E24" s="203" t="str">
        <f>_xlfn.IFERROR(INDEX(C8:C12,MATCH(5,O8:O12,0)),"")</f>
        <v>MARSEILLE</v>
      </c>
      <c r="F24" s="204"/>
      <c r="G24" s="204"/>
      <c r="H24" s="205"/>
      <c r="I24" s="152" t="str">
        <f>IF(grille!H31&lt;&gt;"",grille!H31,"")</f>
        <v>F</v>
      </c>
      <c r="J24" s="150"/>
      <c r="K24" s="43"/>
      <c r="L24" s="127" t="s">
        <v>24</v>
      </c>
      <c r="M24" s="203" t="str">
        <f>_xlfn.IFERROR(INDEX(C8:C12,MATCH(4,O8:O12,0)),"")</f>
        <v>PESSAC</v>
      </c>
      <c r="N24" s="204"/>
      <c r="O24" s="204"/>
      <c r="P24" s="205"/>
      <c r="Q24" s="152">
        <f>IF(grille!H32&lt;&gt;"",grille!H32,"")</f>
        <v>7</v>
      </c>
      <c r="R24" s="124"/>
      <c r="S24" s="147"/>
      <c r="T24" s="147"/>
    </row>
    <row r="25" spans="2:22" ht="15">
      <c r="B25" s="124"/>
      <c r="C25" s="124"/>
      <c r="D25" s="124"/>
      <c r="E25" s="146"/>
      <c r="F25" s="43"/>
      <c r="G25" s="4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20"/>
      <c r="V25" s="20"/>
    </row>
    <row r="26" spans="2:20" ht="15.75" thickBot="1">
      <c r="B26" s="124" t="s">
        <v>61</v>
      </c>
      <c r="C26" s="124"/>
      <c r="D26" s="124"/>
      <c r="E26" s="43"/>
      <c r="F26" s="124"/>
      <c r="G26" s="124" t="s">
        <v>62</v>
      </c>
      <c r="H26" s="124"/>
      <c r="I26" s="124"/>
      <c r="J26" s="124"/>
      <c r="K26" s="124"/>
      <c r="L26" s="124"/>
      <c r="M26" s="124"/>
      <c r="N26" s="124"/>
      <c r="O26" s="147"/>
      <c r="P26" s="147"/>
      <c r="Q26" s="147"/>
      <c r="R26" s="147"/>
      <c r="S26" s="147"/>
      <c r="T26" s="147"/>
    </row>
    <row r="27" spans="2:21" ht="15">
      <c r="B27" s="126" t="s">
        <v>14</v>
      </c>
      <c r="C27" s="153" t="str">
        <f>_xlfn.IFERROR(INDEX(C8:C12,MATCH(3,O8:O12,0)),"")</f>
        <v>LILLE</v>
      </c>
      <c r="D27" s="149">
        <f>IF(grille!G33&lt;&gt;"",grille!G33,"")</f>
        <v>0</v>
      </c>
      <c r="E27" s="43"/>
      <c r="F27" s="150"/>
      <c r="G27" s="126" t="s">
        <v>10</v>
      </c>
      <c r="H27" s="194" t="str">
        <f>_xlfn.IFERROR(INDEX(C8:C12,MATCH(1,O8:O12,0)),"")</f>
        <v>LA ROCHELLE</v>
      </c>
      <c r="I27" s="195"/>
      <c r="J27" s="195"/>
      <c r="K27" s="196"/>
      <c r="L27" s="149">
        <f>IF(grille!G34&lt;&gt;"",grille!G34,"")</f>
        <v>7</v>
      </c>
      <c r="M27" s="124"/>
      <c r="N27" s="124"/>
      <c r="O27" s="147"/>
      <c r="P27" s="147"/>
      <c r="Q27" s="147"/>
      <c r="R27" s="147"/>
      <c r="S27" s="147"/>
      <c r="T27" s="147"/>
      <c r="U27" s="22"/>
    </row>
    <row r="28" spans="2:20" ht="15.75" thickBot="1">
      <c r="B28" s="127" t="s">
        <v>12</v>
      </c>
      <c r="C28" s="154" t="str">
        <f>_xlfn.IFERROR(INDEX(C16:C20,MATCH(2,O16:O20,0)),"")</f>
        <v>DINAN</v>
      </c>
      <c r="D28" s="152">
        <f>IF(grille!H33&lt;&gt;"",grille!H33,"")</f>
        <v>6</v>
      </c>
      <c r="E28" s="43"/>
      <c r="F28" s="150"/>
      <c r="G28" s="127" t="s">
        <v>70</v>
      </c>
      <c r="H28" s="200" t="str">
        <f>Gagnant(E23:I24)</f>
        <v>PONTIVY QUIMPER</v>
      </c>
      <c r="I28" s="201"/>
      <c r="J28" s="201"/>
      <c r="K28" s="202"/>
      <c r="L28" s="152">
        <f>IF(grille!H34&lt;&gt;"",grille!H34,"")</f>
        <v>1</v>
      </c>
      <c r="M28" s="124"/>
      <c r="N28" s="124"/>
      <c r="O28" s="147"/>
      <c r="P28" s="147"/>
      <c r="Q28" s="147"/>
      <c r="R28" s="147"/>
      <c r="S28" s="147"/>
      <c r="T28" s="147"/>
    </row>
    <row r="29" spans="2:20" ht="15">
      <c r="B29" s="124"/>
      <c r="C29" s="124"/>
      <c r="D29" s="124"/>
      <c r="E29" s="124"/>
      <c r="F29" s="43"/>
      <c r="G29" s="43"/>
      <c r="H29" s="124"/>
      <c r="I29" s="124"/>
      <c r="J29" s="124"/>
      <c r="K29" s="124"/>
      <c r="L29" s="124"/>
      <c r="M29" s="124"/>
      <c r="N29" s="150"/>
      <c r="O29" s="124"/>
      <c r="P29" s="124"/>
      <c r="Q29" s="124"/>
      <c r="R29" s="124"/>
      <c r="S29" s="124"/>
      <c r="T29" s="147"/>
    </row>
    <row r="30" spans="2:20" ht="15.75" thickBot="1">
      <c r="B30" s="124" t="s">
        <v>63</v>
      </c>
      <c r="C30" s="124"/>
      <c r="D30" s="124"/>
      <c r="E30" s="124"/>
      <c r="F30" s="43"/>
      <c r="G30" s="124" t="s">
        <v>64</v>
      </c>
      <c r="H30" s="124"/>
      <c r="I30" s="124"/>
      <c r="J30" s="124"/>
      <c r="K30" s="124"/>
      <c r="L30" s="124"/>
      <c r="M30" s="124"/>
      <c r="N30" s="150"/>
      <c r="O30" s="124"/>
      <c r="P30" s="124"/>
      <c r="Q30" s="124"/>
      <c r="R30" s="124"/>
      <c r="S30" s="124"/>
      <c r="T30" s="147"/>
    </row>
    <row r="31" spans="2:20" ht="15">
      <c r="B31" s="126" t="s">
        <v>11</v>
      </c>
      <c r="C31" s="153" t="str">
        <f>_xlfn.IFERROR(INDEX(C8:C12,MATCH(2,O8:O12,0)),"")</f>
        <v>DIDEROT XII</v>
      </c>
      <c r="D31" s="149">
        <f>IF(grille!G35&lt;&gt;"",grille!G35,"")</f>
        <v>6</v>
      </c>
      <c r="E31" s="124"/>
      <c r="F31" s="43"/>
      <c r="G31" s="126" t="s">
        <v>71</v>
      </c>
      <c r="H31" s="194" t="str">
        <f>Gagnant(M23:Q24)</f>
        <v>PESSAC</v>
      </c>
      <c r="I31" s="195"/>
      <c r="J31" s="195"/>
      <c r="K31" s="196"/>
      <c r="L31" s="149">
        <f>IF(grille!G36&lt;&gt;"",grille!G36,"")</f>
        <v>0</v>
      </c>
      <c r="M31" s="124"/>
      <c r="N31" s="150"/>
      <c r="O31" s="124"/>
      <c r="P31" s="124"/>
      <c r="Q31" s="124"/>
      <c r="R31" s="124"/>
      <c r="S31" s="124"/>
      <c r="T31" s="147"/>
    </row>
    <row r="32" spans="2:20" ht="15.75" thickBot="1">
      <c r="B32" s="127" t="s">
        <v>15</v>
      </c>
      <c r="C32" s="154" t="str">
        <f>_xlfn.IFERROR(INDEX(C16:C20,MATCH(3,O16:O20,0)),"")</f>
        <v>CLERMONT ANNEMASSE</v>
      </c>
      <c r="D32" s="152">
        <f>IF(grille!H35&lt;&gt;"",grille!H35,"")</f>
        <v>1</v>
      </c>
      <c r="E32" s="124"/>
      <c r="F32" s="43"/>
      <c r="G32" s="127" t="s">
        <v>13</v>
      </c>
      <c r="H32" s="200" t="str">
        <f>_xlfn.IFERROR(INDEX(C16:C20,MATCH(1,O16:O20,0)),"")</f>
        <v>FONTENAY</v>
      </c>
      <c r="I32" s="201"/>
      <c r="J32" s="201"/>
      <c r="K32" s="202"/>
      <c r="L32" s="152">
        <f>IF(grille!H36&lt;&gt;"",grille!H36,"")</f>
        <v>6</v>
      </c>
      <c r="M32" s="124"/>
      <c r="N32" s="150"/>
      <c r="O32" s="147"/>
      <c r="P32" s="147"/>
      <c r="Q32" s="147"/>
      <c r="R32" s="147"/>
      <c r="S32" s="147"/>
      <c r="T32" s="147"/>
    </row>
    <row r="33" spans="2:20" ht="15">
      <c r="B33" s="124"/>
      <c r="C33" s="124"/>
      <c r="D33" s="124"/>
      <c r="E33" s="124"/>
      <c r="F33" s="43"/>
      <c r="G33" s="43"/>
      <c r="H33" s="43"/>
      <c r="I33" s="43"/>
      <c r="J33" s="43"/>
      <c r="K33" s="43"/>
      <c r="L33" s="43"/>
      <c r="M33" s="124"/>
      <c r="N33" s="150"/>
      <c r="O33" s="147"/>
      <c r="P33" s="147"/>
      <c r="Q33" s="147"/>
      <c r="R33" s="147"/>
      <c r="S33" s="147"/>
      <c r="T33" s="147"/>
    </row>
    <row r="34" spans="2:20" ht="15.75" thickBot="1">
      <c r="B34" s="124" t="s">
        <v>65</v>
      </c>
      <c r="C34" s="124"/>
      <c r="D34" s="124"/>
      <c r="E34" s="43"/>
      <c r="F34" s="124"/>
      <c r="G34" s="124" t="s">
        <v>66</v>
      </c>
      <c r="H34" s="124"/>
      <c r="I34" s="124"/>
      <c r="J34" s="124"/>
      <c r="K34" s="124"/>
      <c r="L34" s="124"/>
      <c r="M34" s="124"/>
      <c r="N34" s="124"/>
      <c r="O34" s="147"/>
      <c r="P34" s="147"/>
      <c r="Q34" s="147"/>
      <c r="R34" s="147"/>
      <c r="S34" s="147"/>
      <c r="T34" s="147"/>
    </row>
    <row r="35" spans="2:20" ht="15">
      <c r="B35" s="126" t="s">
        <v>72</v>
      </c>
      <c r="C35" s="155" t="str">
        <f>Perdant(C27:D28)</f>
        <v>LILLE</v>
      </c>
      <c r="D35" s="149">
        <f>IF(grille!G38&lt;&gt;"",grille!G38,"")</f>
        <v>4</v>
      </c>
      <c r="E35" s="43"/>
      <c r="F35" s="150"/>
      <c r="G35" s="126" t="s">
        <v>74</v>
      </c>
      <c r="H35" s="197" t="str">
        <f>Gagnant(C27:D28)</f>
        <v>DINAN</v>
      </c>
      <c r="I35" s="198"/>
      <c r="J35" s="198"/>
      <c r="K35" s="199"/>
      <c r="L35" s="149">
        <f>IF(grille!G39&lt;&gt;"",grille!G39,"")</f>
        <v>6</v>
      </c>
      <c r="M35" s="124"/>
      <c r="N35" s="124"/>
      <c r="O35" s="147"/>
      <c r="P35" s="147"/>
      <c r="Q35" s="147"/>
      <c r="R35" s="147"/>
      <c r="S35" s="147"/>
      <c r="T35" s="147"/>
    </row>
    <row r="36" spans="2:20" ht="15.75" thickBot="1">
      <c r="B36" s="127" t="s">
        <v>73</v>
      </c>
      <c r="C36" s="39" t="str">
        <f>Perdant(H27:L28)</f>
        <v>PONTIVY QUIMPER</v>
      </c>
      <c r="D36" s="152">
        <f>IF(grille!H38&lt;&gt;"",grille!H38,"")</f>
        <v>6</v>
      </c>
      <c r="E36" s="43"/>
      <c r="F36" s="150"/>
      <c r="G36" s="127" t="s">
        <v>75</v>
      </c>
      <c r="H36" s="203" t="str">
        <f>Gagnant(H27:L28)</f>
        <v>LA ROCHELLE</v>
      </c>
      <c r="I36" s="204"/>
      <c r="J36" s="204"/>
      <c r="K36" s="205"/>
      <c r="L36" s="152">
        <f>IF(grille!H39&lt;&gt;"",grille!H39,"")</f>
        <v>1</v>
      </c>
      <c r="M36" s="124"/>
      <c r="N36" s="124"/>
      <c r="O36" s="147"/>
      <c r="P36" s="147"/>
      <c r="Q36" s="147"/>
      <c r="R36" s="147"/>
      <c r="S36" s="147"/>
      <c r="T36" s="147"/>
    </row>
    <row r="37" spans="2:20" ht="15">
      <c r="B37" s="125"/>
      <c r="C37" s="124"/>
      <c r="D37" s="124"/>
      <c r="E37" s="124"/>
      <c r="F37" s="43"/>
      <c r="G37" s="43"/>
      <c r="H37" s="124"/>
      <c r="I37" s="124"/>
      <c r="J37" s="124"/>
      <c r="K37" s="124"/>
      <c r="L37" s="124"/>
      <c r="M37" s="124"/>
      <c r="N37" s="150"/>
      <c r="O37" s="147"/>
      <c r="P37" s="147"/>
      <c r="Q37" s="147"/>
      <c r="R37" s="147"/>
      <c r="S37" s="147"/>
      <c r="T37" s="147"/>
    </row>
    <row r="38" spans="2:20" ht="15.75" thickBot="1">
      <c r="B38" s="125" t="s">
        <v>67</v>
      </c>
      <c r="C38" s="124"/>
      <c r="D38" s="124"/>
      <c r="E38" s="124"/>
      <c r="F38" s="43"/>
      <c r="G38" s="125" t="s">
        <v>95</v>
      </c>
      <c r="H38" s="124"/>
      <c r="I38" s="124"/>
      <c r="J38" s="124"/>
      <c r="K38" s="124"/>
      <c r="L38" s="124"/>
      <c r="M38" s="124"/>
      <c r="N38" s="147"/>
      <c r="O38" s="147"/>
      <c r="P38" s="147"/>
      <c r="Q38" s="147"/>
      <c r="R38" s="147"/>
      <c r="S38" s="147"/>
      <c r="T38" s="147"/>
    </row>
    <row r="39" spans="2:20" ht="15">
      <c r="B39" s="126" t="s">
        <v>76</v>
      </c>
      <c r="C39" s="148" t="str">
        <f>Perdant(C31:D32)</f>
        <v>CLERMONT ANNEMASSE</v>
      </c>
      <c r="D39" s="149">
        <f>IF(grille!G40&lt;&gt;"",grille!G40,"")</f>
        <v>6</v>
      </c>
      <c r="E39" s="150"/>
      <c r="F39" s="43"/>
      <c r="G39" s="126" t="s">
        <v>78</v>
      </c>
      <c r="H39" s="197" t="str">
        <f>Gagnant(C31:D32)</f>
        <v>DIDEROT XII</v>
      </c>
      <c r="I39" s="198"/>
      <c r="J39" s="198"/>
      <c r="K39" s="199"/>
      <c r="L39" s="149">
        <f>IF(grille!G41&lt;&gt;"",grille!G41,"")</f>
        <v>2</v>
      </c>
      <c r="M39" s="124"/>
      <c r="N39" s="147"/>
      <c r="O39" s="147"/>
      <c r="P39" s="147"/>
      <c r="Q39" s="147"/>
      <c r="R39" s="147"/>
      <c r="S39" s="147"/>
      <c r="T39" s="147"/>
    </row>
    <row r="40" spans="2:20" ht="15.75" thickBot="1">
      <c r="B40" s="127" t="s">
        <v>77</v>
      </c>
      <c r="C40" s="151" t="str">
        <f>Perdant(H31:L32)</f>
        <v>PESSAC</v>
      </c>
      <c r="D40" s="152">
        <f>IF(grille!H40&lt;&gt;"",grille!H40,"")</f>
        <v>0</v>
      </c>
      <c r="E40" s="150"/>
      <c r="F40" s="43"/>
      <c r="G40" s="127" t="s">
        <v>79</v>
      </c>
      <c r="H40" s="203" t="str">
        <f>Gagnant(H31:L32)</f>
        <v>FONTENAY</v>
      </c>
      <c r="I40" s="204"/>
      <c r="J40" s="204"/>
      <c r="K40" s="205"/>
      <c r="L40" s="152">
        <f>IF(grille!H41&lt;&gt;"",grille!H41,"")</f>
        <v>7</v>
      </c>
      <c r="M40" s="124"/>
      <c r="N40" s="147"/>
      <c r="O40" s="147"/>
      <c r="P40" s="147"/>
      <c r="Q40" s="147"/>
      <c r="R40" s="147"/>
      <c r="S40" s="147"/>
      <c r="T40" s="147"/>
    </row>
    <row r="41" spans="2:22" ht="15">
      <c r="B41" s="125"/>
      <c r="C41" s="124"/>
      <c r="D41" s="124"/>
      <c r="E41" s="124"/>
      <c r="F41" s="43"/>
      <c r="G41" s="43"/>
      <c r="H41" s="124"/>
      <c r="I41" s="124"/>
      <c r="J41" s="124"/>
      <c r="K41" s="124"/>
      <c r="L41" s="124"/>
      <c r="M41" s="124"/>
      <c r="N41" s="150"/>
      <c r="O41" s="124"/>
      <c r="P41" s="124"/>
      <c r="Q41" s="124"/>
      <c r="R41" s="124"/>
      <c r="S41" s="124"/>
      <c r="T41" s="124"/>
      <c r="U41" s="20"/>
      <c r="V41" s="20"/>
    </row>
    <row r="42" spans="2:22" ht="15">
      <c r="B42" s="125"/>
      <c r="C42" s="124"/>
      <c r="D42" s="124"/>
      <c r="E42" s="124"/>
      <c r="F42" s="43"/>
      <c r="G42" s="43"/>
      <c r="H42" s="124"/>
      <c r="I42" s="124"/>
      <c r="J42" s="124"/>
      <c r="K42" s="124"/>
      <c r="L42" s="124"/>
      <c r="M42" s="124"/>
      <c r="N42" s="150"/>
      <c r="O42" s="124"/>
      <c r="P42" s="124"/>
      <c r="Q42" s="124"/>
      <c r="R42" s="124"/>
      <c r="S42" s="124"/>
      <c r="T42" s="124"/>
      <c r="U42" s="20"/>
      <c r="V42" s="20"/>
    </row>
    <row r="43" spans="1:26" ht="15">
      <c r="A43" s="27"/>
      <c r="B43" s="156"/>
      <c r="C43" s="157"/>
      <c r="D43" s="157"/>
      <c r="E43" s="157"/>
      <c r="F43" s="158"/>
      <c r="G43" s="158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27"/>
      <c r="V43" s="27"/>
      <c r="W43" s="27"/>
      <c r="X43" s="27"/>
      <c r="Y43" s="27"/>
      <c r="Z43" s="27"/>
    </row>
    <row r="44" spans="2:22" ht="15.75" thickBot="1">
      <c r="B44" s="125"/>
      <c r="C44" s="26" t="s">
        <v>94</v>
      </c>
      <c r="D44" s="26"/>
      <c r="E44" s="26"/>
      <c r="F44" s="43"/>
      <c r="G44" s="43"/>
      <c r="H44" s="26" t="s">
        <v>93</v>
      </c>
      <c r="I44" s="26"/>
      <c r="J44" s="26"/>
      <c r="K44" s="26"/>
      <c r="L44" s="26"/>
      <c r="M44" s="26"/>
      <c r="N44" s="44"/>
      <c r="O44" s="26"/>
      <c r="P44" s="26" t="s">
        <v>92</v>
      </c>
      <c r="Q44" s="26"/>
      <c r="R44" s="26"/>
      <c r="S44" s="124"/>
      <c r="T44" s="124"/>
      <c r="U44" s="20"/>
      <c r="V44" s="20"/>
    </row>
    <row r="45" spans="2:22" ht="15">
      <c r="B45" s="126" t="s">
        <v>80</v>
      </c>
      <c r="C45" s="148" t="str">
        <f>Perdant(M23:Q24)</f>
        <v>LAGNY</v>
      </c>
      <c r="D45" s="149">
        <f>IF(grille!G42&lt;&gt;"",grille!G42,"")</f>
        <v>0</v>
      </c>
      <c r="E45" s="50"/>
      <c r="F45" s="43"/>
      <c r="G45" s="126" t="s">
        <v>82</v>
      </c>
      <c r="H45" s="197" t="str">
        <f>Perdant(C35:D36)</f>
        <v>LILLE</v>
      </c>
      <c r="I45" s="198"/>
      <c r="J45" s="198"/>
      <c r="K45" s="199"/>
      <c r="L45" s="149">
        <f>IF(grille!G43&lt;&gt;"",grille!G43,"")</f>
        <v>6</v>
      </c>
      <c r="M45" s="50"/>
      <c r="N45" s="159"/>
      <c r="O45" s="126" t="s">
        <v>84</v>
      </c>
      <c r="P45" s="197" t="str">
        <f>Gagnant(C35:D36)</f>
        <v>PONTIVY QUIMPER</v>
      </c>
      <c r="Q45" s="198"/>
      <c r="R45" s="198"/>
      <c r="S45" s="199"/>
      <c r="T45" s="149">
        <f>IF(grille!G44&lt;&gt;"",grille!G44,"")</f>
        <v>4</v>
      </c>
      <c r="U45" s="50"/>
      <c r="V45" s="20"/>
    </row>
    <row r="46" spans="2:22" ht="15.75" thickBot="1">
      <c r="B46" s="127" t="s">
        <v>81</v>
      </c>
      <c r="C46" s="151" t="str">
        <f>Perdant(E23:I24)</f>
        <v>MARSEILLE</v>
      </c>
      <c r="D46" s="152" t="str">
        <f>IF(grille!H42&lt;&gt;"",grille!H42,"")</f>
        <v>F</v>
      </c>
      <c r="E46" s="50"/>
      <c r="F46" s="43"/>
      <c r="G46" s="127" t="s">
        <v>83</v>
      </c>
      <c r="H46" s="203" t="str">
        <f>Perdant(C39:D40)</f>
        <v>PESSAC</v>
      </c>
      <c r="I46" s="204"/>
      <c r="J46" s="204"/>
      <c r="K46" s="205"/>
      <c r="L46" s="152">
        <f>IF(grille!H43&lt;&gt;"",grille!H43,"")</f>
        <v>1</v>
      </c>
      <c r="M46" s="50"/>
      <c r="N46" s="159"/>
      <c r="O46" s="127" t="s">
        <v>85</v>
      </c>
      <c r="P46" s="203" t="str">
        <f>Gagnant(C39:D40)</f>
        <v>CLERMONT ANNEMASSE</v>
      </c>
      <c r="Q46" s="204"/>
      <c r="R46" s="204"/>
      <c r="S46" s="205"/>
      <c r="T46" s="152">
        <f>IF(grille!H44&lt;&gt;"",grille!H44,"")</f>
        <v>5</v>
      </c>
      <c r="U46" s="50"/>
      <c r="V46" s="20"/>
    </row>
    <row r="47" spans="2:22" ht="15">
      <c r="B47" s="124"/>
      <c r="C47" s="124"/>
      <c r="D47" s="124"/>
      <c r="E47" s="124"/>
      <c r="F47" s="43"/>
      <c r="G47" s="43"/>
      <c r="H47" s="124"/>
      <c r="I47" s="124"/>
      <c r="J47" s="124"/>
      <c r="K47" s="124"/>
      <c r="L47" s="124"/>
      <c r="M47" s="124"/>
      <c r="N47" s="150"/>
      <c r="O47" s="124"/>
      <c r="P47" s="124"/>
      <c r="Q47" s="124"/>
      <c r="R47" s="124"/>
      <c r="S47" s="124"/>
      <c r="T47" s="124"/>
      <c r="U47" s="20"/>
      <c r="V47" s="20"/>
    </row>
    <row r="48" spans="2:20" ht="15.75" thickBot="1">
      <c r="B48" s="124"/>
      <c r="C48" s="43"/>
      <c r="D48" s="43"/>
      <c r="E48" s="26" t="s">
        <v>91</v>
      </c>
      <c r="F48" s="26"/>
      <c r="G48" s="45"/>
      <c r="H48" s="26"/>
      <c r="I48" s="26"/>
      <c r="J48" s="26"/>
      <c r="K48" s="44"/>
      <c r="L48" s="26"/>
      <c r="M48" s="26" t="s">
        <v>90</v>
      </c>
      <c r="N48" s="26"/>
      <c r="O48" s="124"/>
      <c r="P48" s="124"/>
      <c r="Q48" s="124"/>
      <c r="R48" s="124"/>
      <c r="S48" s="124"/>
      <c r="T48" s="147"/>
    </row>
    <row r="49" spans="2:20" ht="15">
      <c r="B49" s="150"/>
      <c r="C49" s="43"/>
      <c r="D49" s="126" t="s">
        <v>86</v>
      </c>
      <c r="E49" s="197" t="str">
        <f>Perdant(H35:L36)</f>
        <v>LA ROCHELLE</v>
      </c>
      <c r="F49" s="198"/>
      <c r="G49" s="198"/>
      <c r="H49" s="199"/>
      <c r="I49" s="149">
        <f>IF(grille!G45&lt;&gt;"",grille!G45,"")</f>
        <v>4</v>
      </c>
      <c r="J49" s="50"/>
      <c r="K49" s="150"/>
      <c r="L49" s="126" t="s">
        <v>88</v>
      </c>
      <c r="M49" s="197" t="str">
        <f>Gagnant(H35:L36)</f>
        <v>DINAN</v>
      </c>
      <c r="N49" s="198"/>
      <c r="O49" s="198"/>
      <c r="P49" s="199"/>
      <c r="Q49" s="149">
        <f>IF(grille!G46&lt;&gt;"",grille!G46,"")</f>
        <v>0</v>
      </c>
      <c r="R49" s="50"/>
      <c r="S49" s="124"/>
      <c r="T49" s="147"/>
    </row>
    <row r="50" spans="2:20" ht="15.75" thickBot="1">
      <c r="B50" s="150"/>
      <c r="C50" s="43"/>
      <c r="D50" s="127" t="s">
        <v>87</v>
      </c>
      <c r="E50" s="203" t="str">
        <f>Perdant(H39:L40)</f>
        <v>DIDEROT XII</v>
      </c>
      <c r="F50" s="204"/>
      <c r="G50" s="204"/>
      <c r="H50" s="205"/>
      <c r="I50" s="152">
        <f>IF(grille!H45&lt;&gt;"",grille!H45,"")</f>
        <v>2</v>
      </c>
      <c r="J50" s="50"/>
      <c r="K50" s="150"/>
      <c r="L50" s="127" t="s">
        <v>89</v>
      </c>
      <c r="M50" s="203" t="str">
        <f>Gagnant(H39:L40)</f>
        <v>FONTENAY</v>
      </c>
      <c r="N50" s="204"/>
      <c r="O50" s="204"/>
      <c r="P50" s="205"/>
      <c r="Q50" s="152">
        <f>IF(grille!H46&lt;&gt;"",grille!H46,"")</f>
        <v>2</v>
      </c>
      <c r="R50" s="50"/>
      <c r="S50" s="124"/>
      <c r="T50" s="147"/>
    </row>
    <row r="52" spans="1:26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/>
  <mergeCells count="52"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R10:S10"/>
    <mergeCell ref="R11:S11"/>
    <mergeCell ref="R12:S12"/>
    <mergeCell ref="E23:H23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4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17.421875" style="17" customWidth="1"/>
    <col min="5" max="5" width="4.8515625" style="18" customWidth="1"/>
  </cols>
  <sheetData>
    <row r="1" spans="1:5" s="80" customFormat="1" ht="1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2021 / 2022</v>
      </c>
      <c r="C3" s="78"/>
    </row>
    <row r="4" spans="1:3" s="73" customFormat="1" ht="21" customHeight="1">
      <c r="A4" s="54" t="s">
        <v>38</v>
      </c>
      <c r="B4" s="77" t="str">
        <f>date</f>
        <v>12 et 13 mars 2022</v>
      </c>
      <c r="C4" s="78"/>
    </row>
    <row r="5" spans="1:5" s="80" customFormat="1" ht="15">
      <c r="A5" s="20"/>
      <c r="B5" s="20"/>
      <c r="C5" s="20"/>
      <c r="D5" s="20"/>
      <c r="E5" s="21"/>
    </row>
    <row r="6" spans="1:3" s="80" customFormat="1" ht="17.25">
      <c r="A6" s="54" t="s">
        <v>37</v>
      </c>
      <c r="B6" s="77" t="str">
        <f>lieu</f>
        <v>Le Puy en Velay</v>
      </c>
      <c r="C6" s="81"/>
    </row>
    <row r="7" spans="1:3" s="80" customFormat="1" ht="17.25">
      <c r="A7" s="54" t="s">
        <v>39</v>
      </c>
      <c r="B7" s="77" t="str">
        <f>catégorie</f>
        <v>Division 2 Féminine</v>
      </c>
      <c r="C7" s="78"/>
    </row>
    <row r="8" spans="1:5" ht="15">
      <c r="A8" s="27"/>
      <c r="B8" s="27"/>
      <c r="C8" s="27"/>
      <c r="D8" s="27"/>
      <c r="E8" s="28"/>
    </row>
    <row r="9" ht="39.75" customHeight="1"/>
    <row r="10" spans="2:4" ht="24.75" customHeight="1">
      <c r="B10" s="172" t="str">
        <f>Gagnant(Poules!M49:Q50)</f>
        <v>FONTENAY</v>
      </c>
      <c r="C10" s="119">
        <v>1</v>
      </c>
      <c r="D10" s="213" t="s">
        <v>129</v>
      </c>
    </row>
    <row r="11" spans="2:4" ht="24.75" customHeight="1">
      <c r="B11" s="118" t="str">
        <f>Perdant(Poules!M49:Q50)</f>
        <v>DINAN</v>
      </c>
      <c r="C11" s="119">
        <v>2</v>
      </c>
      <c r="D11" s="213"/>
    </row>
    <row r="12" spans="2:4" ht="24.75" customHeight="1">
      <c r="B12" s="118" t="str">
        <f>Gagnant(Poules!E49:I50)</f>
        <v>LA ROCHELLE</v>
      </c>
      <c r="C12" s="121">
        <v>3</v>
      </c>
      <c r="D12" s="214" t="s">
        <v>131</v>
      </c>
    </row>
    <row r="13" spans="2:4" ht="24.75" customHeight="1">
      <c r="B13" s="120" t="str">
        <f>Perdant(Poules!E49:I50)</f>
        <v>DIDEROT XII</v>
      </c>
      <c r="C13" s="119">
        <v>4</v>
      </c>
      <c r="D13" s="214"/>
    </row>
    <row r="14" spans="2:4" ht="24.75" customHeight="1">
      <c r="B14" s="118" t="str">
        <f>Gagnant(Poules!P45:T46)</f>
        <v>CLERMONT ANNEMASSE</v>
      </c>
      <c r="C14" s="119">
        <v>5</v>
      </c>
      <c r="D14" s="214"/>
    </row>
    <row r="15" spans="2:4" ht="24.75" customHeight="1">
      <c r="B15" s="120" t="str">
        <f>Perdant(Poules!P45:T46)</f>
        <v>PONTIVY QUIMPER</v>
      </c>
      <c r="C15" s="119">
        <v>6</v>
      </c>
      <c r="D15" s="214"/>
    </row>
    <row r="16" spans="2:4" ht="24.75" customHeight="1">
      <c r="B16" s="118" t="str">
        <f>Gagnant(Poules!H45:L46)</f>
        <v>LILLE</v>
      </c>
      <c r="C16" s="119">
        <v>7</v>
      </c>
      <c r="D16" s="214"/>
    </row>
    <row r="17" spans="2:4" ht="24.75" customHeight="1">
      <c r="B17" s="120" t="str">
        <f>Perdant(Poules!H45:L46)</f>
        <v>PESSAC</v>
      </c>
      <c r="C17" s="119">
        <v>8</v>
      </c>
      <c r="D17" s="214"/>
    </row>
    <row r="18" spans="2:4" ht="24.75" customHeight="1">
      <c r="B18" s="118" t="str">
        <f>Gagnant(Poules!C45:D46)</f>
        <v>LAGNY</v>
      </c>
      <c r="C18" s="119">
        <v>9</v>
      </c>
      <c r="D18" s="215" t="s">
        <v>130</v>
      </c>
    </row>
    <row r="19" spans="2:4" ht="24.75" customHeight="1" thickBot="1">
      <c r="B19" s="122" t="str">
        <f>Perdant(Poules!C45:D46)</f>
        <v>MARSEILLE</v>
      </c>
      <c r="C19" s="123">
        <v>10</v>
      </c>
      <c r="D19" s="215"/>
    </row>
  </sheetData>
  <sheetProtection/>
  <mergeCells count="3">
    <mergeCell ref="D10:D11"/>
    <mergeCell ref="D12:D17"/>
    <mergeCell ref="D18:D19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CNC CNHS</cp:lastModifiedBy>
  <cp:lastPrinted>2022-03-13T15:14:36Z</cp:lastPrinted>
  <dcterms:created xsi:type="dcterms:W3CDTF">1997-11-08T13:41:57Z</dcterms:created>
  <dcterms:modified xsi:type="dcterms:W3CDTF">2022-03-20T09:57:06Z</dcterms:modified>
  <cp:category/>
  <cp:version/>
  <cp:contentType/>
  <cp:contentStatus/>
</cp:coreProperties>
</file>